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DIZ\"/>
    </mc:Choice>
  </mc:AlternateContent>
  <workbookProtection workbookAlgorithmName="SHA-512" workbookHashValue="I2c8qABWue1Qvz/ahWC3t+F74+kCwIp+X27a3k6RODi+V+si5TW4drvBSti8aiJynq3liFU4lfEuh6xmQNhqJA==" workbookSaltValue="DCW8ELwJpz4fr/MFqUbQ3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13" i="2" s="1"/>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G11" i="13" s="1"/>
  <c r="BB9" i="13"/>
  <c r="BA9" i="13"/>
  <c r="AY9" i="13"/>
  <c r="BC12" i="13"/>
  <c r="BC11" i="13"/>
  <c r="BC10" i="13"/>
  <c r="BC13" i="13" s="1"/>
  <c r="BB10" i="13"/>
  <c r="BA10" i="13"/>
  <c r="AZ10" i="13"/>
  <c r="AY10" i="13"/>
  <c r="BC9" i="13"/>
  <c r="BC17" i="13"/>
  <c r="BC18" i="13" s="1"/>
  <c r="BB17" i="13"/>
  <c r="BB18" i="13" s="1"/>
  <c r="BA17" i="13"/>
  <c r="BD17" i="13" s="1"/>
  <c r="AZ17" i="13"/>
  <c r="AY17" i="13"/>
  <c r="BC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F15"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E19" i="8" s="1"/>
  <c r="AD18" i="8"/>
  <c r="AC18" i="8"/>
  <c r="AB18" i="8"/>
  <c r="AA18" i="8"/>
  <c r="Z18" i="8"/>
  <c r="Y18" i="8"/>
  <c r="X18" i="8"/>
  <c r="W18" i="8"/>
  <c r="V18" i="8"/>
  <c r="U18" i="8"/>
  <c r="T18" i="8"/>
  <c r="S18" i="8"/>
  <c r="S19" i="8" s="1"/>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S13" i="12" s="1"/>
  <c r="AH13" i="8"/>
  <c r="R13" i="12" s="1"/>
  <c r="AG13" i="8"/>
  <c r="Q13" i="12" s="1"/>
  <c r="AF13" i="8"/>
  <c r="AE13" i="8"/>
  <c r="AD13" i="8"/>
  <c r="AC13" i="8"/>
  <c r="AB13" i="8"/>
  <c r="AA13" i="8"/>
  <c r="Z13" i="8"/>
  <c r="Y13" i="8"/>
  <c r="Y19" i="8" s="1"/>
  <c r="X13" i="8"/>
  <c r="W13" i="8"/>
  <c r="V13" i="8"/>
  <c r="U13" i="8"/>
  <c r="T13" i="8"/>
  <c r="T19" i="8" s="1"/>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AO16" i="11" s="1"/>
  <c r="G17" i="2"/>
  <c r="E15" i="2"/>
  <c r="E16" i="2"/>
  <c r="E17" i="2"/>
  <c r="C16" i="2"/>
  <c r="D16" i="2" s="1"/>
  <c r="C17" i="2"/>
  <c r="D17" i="2" s="1"/>
  <c r="I9" i="2"/>
  <c r="I10" i="2"/>
  <c r="I11" i="2"/>
  <c r="I12" i="2"/>
  <c r="C10" i="2"/>
  <c r="D10" i="2" s="1"/>
  <c r="C11" i="2"/>
  <c r="C12" i="2"/>
  <c r="D12" i="2" s="1"/>
  <c r="G9" i="2"/>
  <c r="B9" i="6" s="1"/>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AY16" i="8"/>
  <c r="BB15" i="8"/>
  <c r="BE15" i="8" s="1"/>
  <c r="BA15" i="8"/>
  <c r="AZ15" i="8"/>
  <c r="BD15" i="8" s="1"/>
  <c r="AY15" i="8"/>
  <c r="BB12" i="8"/>
  <c r="BA12" i="8"/>
  <c r="AZ12" i="8"/>
  <c r="AY12" i="8"/>
  <c r="BB11" i="8"/>
  <c r="BE11" i="8" s="1"/>
  <c r="BA11" i="8"/>
  <c r="AZ11" i="8"/>
  <c r="BD11" i="8" s="1"/>
  <c r="AY11" i="8"/>
  <c r="BB9" i="8"/>
  <c r="BE9" i="8" s="1"/>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BF9" i="8" s="1"/>
  <c r="AY10" i="8"/>
  <c r="AZ10" i="8"/>
  <c r="BA10" i="8"/>
  <c r="BB10" i="8"/>
  <c r="BC10" i="8"/>
  <c r="BC11" i="8"/>
  <c r="BF11" i="8" s="1"/>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D11" i="12" s="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C19" i="3"/>
  <c r="BD12" i="13"/>
  <c r="AZ13" i="13"/>
  <c r="AM19" i="8"/>
  <c r="AP13" i="17"/>
  <c r="BD17" i="8"/>
  <c r="BF17" i="8"/>
  <c r="AB19" i="19"/>
  <c r="BF9" i="13"/>
  <c r="E18" i="12"/>
  <c r="ER19" i="8"/>
  <c r="EL19" i="8"/>
  <c r="AC11" i="11"/>
  <c r="EQ19" i="8"/>
  <c r="AP12" i="11"/>
  <c r="Y11" i="11"/>
  <c r="AT18" i="17"/>
  <c r="AL10" i="11"/>
  <c r="N10" i="11"/>
  <c r="N9" i="11"/>
  <c r="T10" i="21"/>
  <c r="F10" i="10"/>
  <c r="D11" i="2"/>
  <c r="N11" i="11"/>
  <c r="ES19" i="8"/>
  <c r="C18" i="7"/>
  <c r="S19" i="13"/>
  <c r="AG19" i="19"/>
  <c r="F9" i="11"/>
  <c r="CI19" i="8"/>
  <c r="F17" i="16"/>
  <c r="BL17" i="16" s="1"/>
  <c r="EP19" i="8"/>
  <c r="ER19" i="13"/>
  <c r="AL13" i="16"/>
  <c r="S13" i="16"/>
  <c r="H18" i="16"/>
  <c r="P13" i="16"/>
  <c r="AN13" i="20"/>
  <c r="F15" i="17"/>
  <c r="Z13" i="17"/>
  <c r="C11" i="6"/>
  <c r="I11" i="12" s="1"/>
  <c r="M13" i="2"/>
  <c r="AL11" i="11"/>
  <c r="E11" i="6"/>
  <c r="AC10" i="11"/>
  <c r="AJ19" i="8"/>
  <c r="AY18" i="8"/>
  <c r="BF15" i="8"/>
  <c r="AZ18" i="13"/>
  <c r="BD12" i="8"/>
  <c r="BG15" i="8"/>
  <c r="BD9" i="8"/>
  <c r="BA13" i="8"/>
  <c r="AV18" i="17"/>
  <c r="J18" i="17"/>
  <c r="T13" i="16"/>
  <c r="AP13" i="16"/>
  <c r="F11" i="11"/>
  <c r="AQ11" i="11" s="1"/>
  <c r="T18" i="17"/>
  <c r="BF15" i="13"/>
  <c r="BG15" i="13"/>
  <c r="BA18" i="13"/>
  <c r="BE15"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F17" i="17" l="1"/>
  <c r="AQ17" i="17" s="1"/>
  <c r="B18" i="2"/>
  <c r="BG16" i="8"/>
  <c r="AW18" i="21"/>
  <c r="Z19" i="8"/>
  <c r="H13" i="12"/>
  <c r="BE12" i="8"/>
  <c r="BG12" i="8"/>
  <c r="K12" i="7" s="1"/>
  <c r="AB19" i="8"/>
  <c r="BG10" i="8"/>
  <c r="F9" i="2"/>
  <c r="AO9" i="11"/>
  <c r="K9" i="7"/>
  <c r="H15" i="7"/>
  <c r="H12" i="2"/>
  <c r="C10" i="6"/>
  <c r="L11" i="14"/>
  <c r="E18" i="2"/>
  <c r="F18" i="2" s="1"/>
  <c r="AO17" i="11"/>
  <c r="AL15" i="11"/>
  <c r="L16" i="14"/>
  <c r="H12" i="7"/>
  <c r="B17" i="6"/>
  <c r="C17" i="6"/>
  <c r="B12" i="6"/>
  <c r="L12" i="14"/>
  <c r="M18" i="2"/>
  <c r="N18" i="2"/>
  <c r="BE12" i="13"/>
  <c r="F16" i="17"/>
  <c r="AQ16" i="17" s="1"/>
  <c r="BG16" i="13"/>
  <c r="BD16" i="13"/>
  <c r="BE16" i="13"/>
  <c r="H15" i="2"/>
  <c r="E15" i="6"/>
  <c r="B16" i="6"/>
  <c r="D12" i="12"/>
  <c r="F12" i="11"/>
  <c r="AQ12" i="11" s="1"/>
  <c r="E9" i="6"/>
  <c r="AY13" i="8"/>
  <c r="AO12" i="11"/>
  <c r="I11" i="7"/>
  <c r="AY13" i="13"/>
  <c r="BE9" i="13"/>
  <c r="BB13" i="13"/>
  <c r="S16" i="14"/>
  <c r="V16" i="14" s="1"/>
  <c r="R8" i="9"/>
  <c r="AP16" i="20"/>
  <c r="V15" i="11"/>
  <c r="BH15" i="11"/>
  <c r="Q17" i="20"/>
  <c r="BF17" i="11"/>
  <c r="S17" i="16"/>
  <c r="X11" i="17"/>
  <c r="S9" i="17"/>
  <c r="BI10" i="11"/>
  <c r="S9" i="14"/>
  <c r="V9" i="14" s="1"/>
  <c r="BJ11" i="11"/>
  <c r="BI17" i="11"/>
  <c r="BL11" i="11"/>
  <c r="BM15" i="11"/>
  <c r="T15" i="16"/>
  <c r="BW9" i="20"/>
  <c r="BV16" i="16"/>
  <c r="BV15" i="16"/>
  <c r="BU9" i="17"/>
  <c r="BU17" i="17"/>
  <c r="BV9" i="16"/>
  <c r="AZ12" i="11"/>
  <c r="T15" i="11"/>
  <c r="S15" i="16"/>
  <c r="BF12" i="11"/>
  <c r="BL10" i="11"/>
  <c r="Q15" i="17"/>
  <c r="BF15" i="11"/>
  <c r="AQ12" i="21"/>
  <c r="BL16" i="11"/>
  <c r="L15" i="2"/>
  <c r="V9" i="16"/>
  <c r="AA10" i="16"/>
  <c r="X13" i="20"/>
  <c r="X17" i="20"/>
  <c r="AA12" i="21"/>
  <c r="V17" i="16"/>
  <c r="S15" i="17"/>
  <c r="L11" i="2"/>
  <c r="X9" i="16"/>
  <c r="X19" i="16" s="1"/>
  <c r="X15" i="16"/>
  <c r="X18" i="16" s="1"/>
  <c r="S17" i="14"/>
  <c r="V17" i="14" s="1"/>
  <c r="V18" i="14" s="1"/>
  <c r="R17" i="14"/>
  <c r="R18" i="14" s="1"/>
  <c r="T12" i="11"/>
  <c r="T17" i="11"/>
  <c r="X10" i="17"/>
  <c r="AA11" i="16"/>
  <c r="V10" i="16"/>
  <c r="AZ11" i="11"/>
  <c r="X10" i="21"/>
  <c r="S16" i="17"/>
  <c r="AU18" i="21"/>
  <c r="L19" i="21"/>
  <c r="BD18" i="19"/>
  <c r="AC19" i="13"/>
  <c r="BA13" i="13"/>
  <c r="BD13" i="13" s="1"/>
  <c r="BE11" i="13"/>
  <c r="BG10" i="13"/>
  <c r="BE17" i="13"/>
  <c r="F17" i="11"/>
  <c r="AQ17" i="11" s="1"/>
  <c r="AQ15" i="11"/>
  <c r="AM15" i="11"/>
  <c r="E12" i="6"/>
  <c r="C12" i="6"/>
  <c r="AL12" i="11"/>
  <c r="C18" i="2"/>
  <c r="D18" i="2" s="1"/>
  <c r="G18" i="12"/>
  <c r="E16" i="6"/>
  <c r="K16" i="12" s="1"/>
  <c r="C15" i="6"/>
  <c r="B15" i="6"/>
  <c r="G15" i="3"/>
  <c r="I12" i="3"/>
  <c r="E12" i="3"/>
  <c r="E10" i="3"/>
  <c r="AM11" i="11"/>
  <c r="L9" i="14"/>
  <c r="AO11" i="11"/>
  <c r="AL17" i="11"/>
  <c r="F15" i="2"/>
  <c r="AL16" i="11"/>
  <c r="AO17" i="17"/>
  <c r="L15" i="14"/>
  <c r="AR13" i="21"/>
  <c r="E13" i="17"/>
  <c r="W13" i="17"/>
  <c r="I9" i="7"/>
  <c r="H9" i="7"/>
  <c r="K15" i="7"/>
  <c r="I18" i="2"/>
  <c r="G18" i="2"/>
  <c r="L17" i="14"/>
  <c r="H11" i="7"/>
  <c r="B11" i="6"/>
  <c r="AL9" i="11"/>
  <c r="AO15" i="17"/>
  <c r="I15" i="7"/>
  <c r="AO15" i="11"/>
  <c r="C16" i="6"/>
  <c r="BI16" i="16"/>
  <c r="H17" i="7"/>
  <c r="AN11" i="11"/>
  <c r="D9" i="6"/>
  <c r="J9" i="12" s="1"/>
  <c r="I12" i="7"/>
  <c r="C9" i="6"/>
  <c r="I9" i="12" s="1"/>
  <c r="AQ15" i="17"/>
  <c r="AC19" i="17"/>
  <c r="AE13" i="17"/>
  <c r="AN19" i="13"/>
  <c r="X19" i="13"/>
  <c r="BH19" i="13"/>
  <c r="AC19" i="8"/>
  <c r="AC12" i="11"/>
  <c r="AB13" i="21"/>
  <c r="AB21" i="21" s="1"/>
  <c r="C15" i="14"/>
  <c r="K15" i="14" s="1"/>
  <c r="E9" i="12"/>
  <c r="Y10" i="11"/>
  <c r="Y13" i="11" s="1"/>
  <c r="Y12" i="11"/>
  <c r="J9" i="7"/>
  <c r="J15" i="7"/>
  <c r="F17" i="2"/>
  <c r="J15" i="2"/>
  <c r="BF18" i="19"/>
  <c r="AS13" i="21"/>
  <c r="AO18" i="20"/>
  <c r="AL19" i="16"/>
  <c r="AJ13" i="16"/>
  <c r="AJ19" i="16" s="1"/>
  <c r="AM19" i="13"/>
  <c r="W19" i="13"/>
  <c r="U19" i="13"/>
  <c r="Q19" i="13"/>
  <c r="V19" i="13"/>
  <c r="BD11" i="13"/>
  <c r="AN15" i="11"/>
  <c r="D15" i="6"/>
  <c r="J15" i="12" s="1"/>
  <c r="J18" i="2"/>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F15" i="16"/>
  <c r="BL15" i="16" s="1"/>
  <c r="G12" i="12"/>
  <c r="E12" i="12"/>
  <c r="G9" i="12"/>
  <c r="D9" i="12"/>
  <c r="F9" i="12"/>
  <c r="AG13" i="11"/>
  <c r="D13" i="5"/>
  <c r="J17" i="7"/>
  <c r="J11" i="7"/>
  <c r="AN17" i="11"/>
  <c r="I16" i="3"/>
  <c r="E16" i="3"/>
  <c r="BB19" i="19"/>
  <c r="AO13" i="20"/>
  <c r="AR13" i="20"/>
  <c r="AF13" i="21"/>
  <c r="AF19" i="21" s="1"/>
  <c r="P19" i="19"/>
  <c r="V19" i="19"/>
  <c r="AD19" i="19"/>
  <c r="S18" i="16"/>
  <c r="S19" i="16" s="1"/>
  <c r="BC19" i="13"/>
  <c r="BG9" i="13"/>
  <c r="AB19" i="13"/>
  <c r="BK19" i="13"/>
  <c r="AQ19" i="13"/>
  <c r="AA19" i="13"/>
  <c r="BF18" i="13"/>
  <c r="I12" i="12"/>
  <c r="J12" i="7"/>
  <c r="AN12" i="11"/>
  <c r="H17" i="2"/>
  <c r="AI19" i="8"/>
  <c r="W19" i="8"/>
  <c r="BD16" i="8"/>
  <c r="H16" i="7" s="1"/>
  <c r="AX21" i="11"/>
  <c r="I10" i="12"/>
  <c r="E11" i="12"/>
  <c r="AH19" i="8"/>
  <c r="AG19" i="8"/>
  <c r="U19" i="8"/>
  <c r="BG17" i="8"/>
  <c r="K17" i="7" s="1"/>
  <c r="J12" i="2"/>
  <c r="H11" i="2"/>
  <c r="H9" i="2"/>
  <c r="BE17" i="8"/>
  <c r="I17" i="7" s="1"/>
  <c r="N12" i="11"/>
  <c r="AT19" i="8"/>
  <c r="L18" i="11"/>
  <c r="I15" i="10"/>
  <c r="K15" i="10" s="1"/>
  <c r="I9" i="10"/>
  <c r="K9" i="10" s="1"/>
  <c r="AN9" i="11"/>
  <c r="K16" i="7"/>
  <c r="AE19" i="21"/>
  <c r="T13" i="20"/>
  <c r="AP13" i="20"/>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I19" i="8"/>
  <c r="AS19" i="8"/>
  <c r="K13" i="17"/>
  <c r="J13" i="17"/>
  <c r="K18" i="17"/>
  <c r="AF13" i="17"/>
  <c r="AX21" i="17"/>
  <c r="AQ10" i="17"/>
  <c r="H19" i="21"/>
  <c r="F12" i="2"/>
  <c r="I15" i="1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BL11" i="16"/>
  <c r="F12" i="12"/>
  <c r="AI13" i="11"/>
  <c r="AU13" i="11"/>
  <c r="AP17" i="11"/>
  <c r="AT13" i="11"/>
  <c r="AV18" i="11"/>
  <c r="R13" i="11"/>
  <c r="Z13" i="11"/>
  <c r="AD13" i="11"/>
  <c r="AF18" i="11"/>
  <c r="AF13" i="11"/>
  <c r="I13" i="11"/>
  <c r="I19" i="11" s="1"/>
  <c r="J18" i="11"/>
  <c r="AC15" i="11"/>
  <c r="AS13" i="11"/>
  <c r="AS18" i="11"/>
  <c r="E13" i="11"/>
  <c r="AH18" i="11"/>
  <c r="S13" i="1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H19" i="16"/>
  <c r="AB13" i="16"/>
  <c r="BD13" i="16"/>
  <c r="K19" i="13"/>
  <c r="D13" i="14"/>
  <c r="G13" i="11"/>
  <c r="D13" i="12" s="1"/>
  <c r="C13" i="2"/>
  <c r="G13" i="17"/>
  <c r="BH13" i="16"/>
  <c r="E13" i="7"/>
  <c r="AA13" i="17"/>
  <c r="BG13" i="16"/>
  <c r="G13" i="7"/>
  <c r="K13" i="2"/>
  <c r="T13" i="17"/>
  <c r="BG18" i="16"/>
  <c r="F18" i="12"/>
  <c r="AP18" i="21"/>
  <c r="D18" i="14"/>
  <c r="G18" i="11"/>
  <c r="G21" i="11" s="1"/>
  <c r="W13" i="11"/>
  <c r="F13" i="12" s="1"/>
  <c r="D18" i="3"/>
  <c r="E18" i="3" s="1"/>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S18" i="16"/>
  <c r="AD13" i="16"/>
  <c r="AD19" i="16" s="1"/>
  <c r="Q13" i="16"/>
  <c r="X13" i="16"/>
  <c r="AS18" i="16"/>
  <c r="AZ13" i="16"/>
  <c r="AN19" i="16"/>
  <c r="AW19" i="11"/>
  <c r="AC16" i="11"/>
  <c r="K13" i="11"/>
  <c r="N18"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AJ18" i="11"/>
  <c r="D18" i="5"/>
  <c r="D19" i="5" s="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N19" i="21"/>
  <c r="K19" i="19"/>
  <c r="AO19" i="20" s="1"/>
  <c r="O19" i="19"/>
  <c r="W19" i="19"/>
  <c r="AE19" i="19"/>
  <c r="BH19" i="19"/>
  <c r="BC21" i="20"/>
  <c r="AC13" i="21"/>
  <c r="AC21" i="21" s="1"/>
  <c r="AS13" i="20"/>
  <c r="I18" i="20"/>
  <c r="I19" i="20" s="1"/>
  <c r="BC19" i="21"/>
  <c r="AZ19" i="19"/>
  <c r="AD13" i="21"/>
  <c r="AD19" i="21" s="1"/>
  <c r="Z13" i="21"/>
  <c r="AK21" i="20"/>
  <c r="AJ13" i="21"/>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AY21" i="21"/>
  <c r="AG18" i="11"/>
  <c r="AK18" i="11"/>
  <c r="E13" i="14"/>
  <c r="O19" i="16"/>
  <c r="AS16" i="20"/>
  <c r="AQ19" i="20"/>
  <c r="D11" i="6"/>
  <c r="J11" i="12" s="1"/>
  <c r="E11" i="3"/>
  <c r="R15" i="14"/>
  <c r="AM17" i="11"/>
  <c r="BG17" i="11"/>
  <c r="P19" i="8"/>
  <c r="AO11" i="17"/>
  <c r="AQ18" i="21"/>
  <c r="BG11" i="11"/>
  <c r="BJ9" i="11"/>
  <c r="BA19" i="19"/>
  <c r="BG19" i="19" s="1"/>
  <c r="BD13" i="19"/>
  <c r="BF13" i="19"/>
  <c r="AD19" i="8"/>
  <c r="V19" i="8"/>
  <c r="U16" i="21"/>
  <c r="U18" i="21" s="1"/>
  <c r="V16" i="20"/>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AU20" i="17"/>
  <c r="BP20" i="16"/>
  <c r="U17" i="11"/>
  <c r="O10" i="11"/>
  <c r="BR20" i="16"/>
  <c r="F18" i="11" l="1"/>
  <c r="I17" i="12"/>
  <c r="B19" i="7"/>
  <c r="AI19" i="11"/>
  <c r="F18" i="17"/>
  <c r="AL18" i="11"/>
  <c r="B18" i="6"/>
  <c r="D19" i="12"/>
  <c r="K12" i="12"/>
  <c r="H13" i="2"/>
  <c r="BE13" i="13"/>
  <c r="BG13" i="13"/>
  <c r="F18" i="20"/>
  <c r="F21" i="20" s="1"/>
  <c r="C18" i="6"/>
  <c r="BB19" i="13"/>
  <c r="BF13" i="13"/>
  <c r="AM13" i="11"/>
  <c r="Q18" i="20"/>
  <c r="Q19" i="20" s="1"/>
  <c r="BF11" i="11"/>
  <c r="BL9" i="11"/>
  <c r="BG10" i="11"/>
  <c r="P17" i="17"/>
  <c r="BK12" i="11"/>
  <c r="BK9" i="11"/>
  <c r="AO12" i="17"/>
  <c r="X9" i="17"/>
  <c r="BM12" i="11"/>
  <c r="V9" i="11"/>
  <c r="BJ15" i="11"/>
  <c r="AP15" i="20"/>
  <c r="R17" i="20"/>
  <c r="AZ9" i="11"/>
  <c r="AZ15" i="11"/>
  <c r="AZ18" i="11" s="1"/>
  <c r="BV17" i="16"/>
  <c r="BV18" i="16" s="1"/>
  <c r="BV12" i="16"/>
  <c r="BV11" i="16"/>
  <c r="U10" i="17"/>
  <c r="S11" i="17"/>
  <c r="AA16" i="16"/>
  <c r="X15" i="17"/>
  <c r="T16" i="11"/>
  <c r="Q17" i="17"/>
  <c r="Q18" i="17" s="1"/>
  <c r="Q19" i="17" s="1"/>
  <c r="BI9" i="11"/>
  <c r="BJ10" i="11"/>
  <c r="BH11" i="11"/>
  <c r="S17" i="17"/>
  <c r="BH12" i="16"/>
  <c r="X12" i="17"/>
  <c r="L12" i="2"/>
  <c r="T9" i="11"/>
  <c r="BH11" i="16"/>
  <c r="BH17" i="16"/>
  <c r="BM16" i="11"/>
  <c r="BL17" i="11"/>
  <c r="BF10" i="11"/>
  <c r="Q10" i="11" s="1"/>
  <c r="R12" i="14"/>
  <c r="R13" i="14" s="1"/>
  <c r="V12" i="21"/>
  <c r="BK11" i="11"/>
  <c r="AP10" i="21"/>
  <c r="BH9" i="11"/>
  <c r="AO16" i="17"/>
  <c r="BJ12" i="11"/>
  <c r="BG15" i="11"/>
  <c r="BK17" i="11"/>
  <c r="AP17" i="20"/>
  <c r="BU11" i="17"/>
  <c r="BU10" i="17"/>
  <c r="BW12" i="20"/>
  <c r="BW11" i="20"/>
  <c r="BW10" i="20"/>
  <c r="BU12" i="17"/>
  <c r="AA15" i="16"/>
  <c r="S11" i="14"/>
  <c r="V11" i="14" s="1"/>
  <c r="BG12" i="11"/>
  <c r="P12" i="11" s="1"/>
  <c r="BH10" i="11"/>
  <c r="AQ10" i="21"/>
  <c r="BK16" i="11"/>
  <c r="BG16" i="11"/>
  <c r="BM9" i="11"/>
  <c r="BK10" i="11"/>
  <c r="U9" i="17"/>
  <c r="S12" i="14"/>
  <c r="R16" i="14"/>
  <c r="X12" i="21"/>
  <c r="X19" i="21" s="1"/>
  <c r="BH9" i="16"/>
  <c r="BJ17" i="11"/>
  <c r="BH15" i="16"/>
  <c r="V11" i="16"/>
  <c r="BF16" i="11"/>
  <c r="BL12" i="11"/>
  <c r="BK15" i="11"/>
  <c r="BK18" i="11" s="1"/>
  <c r="V11" i="11"/>
  <c r="Q10" i="21"/>
  <c r="Q13" i="21" s="1"/>
  <c r="Q19" i="21" s="1"/>
  <c r="BI15" i="11"/>
  <c r="R10" i="21"/>
  <c r="R13" i="21" s="1"/>
  <c r="R19" i="21" s="1"/>
  <c r="BG9" i="11"/>
  <c r="BH17" i="11"/>
  <c r="T17" i="16"/>
  <c r="T18" i="16" s="1"/>
  <c r="T19" i="16" s="1"/>
  <c r="BU15" i="17"/>
  <c r="BW17" i="20"/>
  <c r="BW16" i="20"/>
  <c r="BW15" i="20"/>
  <c r="BV10" i="16"/>
  <c r="BV13" i="16" s="1"/>
  <c r="BU16" i="17"/>
  <c r="AZ16" i="11"/>
  <c r="R10" i="14"/>
  <c r="X17" i="17"/>
  <c r="P15" i="17"/>
  <c r="P18" i="17" s="1"/>
  <c r="P19" i="17" s="1"/>
  <c r="BL15" i="11"/>
  <c r="Q15" i="11" s="1"/>
  <c r="BH10" i="16"/>
  <c r="BM17" i="11"/>
  <c r="BH16" i="11"/>
  <c r="BJ16" i="11"/>
  <c r="L10" i="2"/>
  <c r="L16" i="2"/>
  <c r="S15" i="14"/>
  <c r="V15" i="14" s="1"/>
  <c r="AA17" i="16"/>
  <c r="T17" i="20"/>
  <c r="U10" i="21"/>
  <c r="X16" i="20"/>
  <c r="S10" i="17"/>
  <c r="L9" i="2"/>
  <c r="L17" i="2"/>
  <c r="V15" i="20"/>
  <c r="S10" i="14"/>
  <c r="V10" i="14" s="1"/>
  <c r="R11" i="14"/>
  <c r="AM9" i="11"/>
  <c r="T11" i="11"/>
  <c r="X16" i="17"/>
  <c r="AA9" i="16"/>
  <c r="V15" i="16"/>
  <c r="V12" i="16"/>
  <c r="AZ17" i="11"/>
  <c r="X12" i="16"/>
  <c r="AM16" i="11"/>
  <c r="AM12" i="11"/>
  <c r="AO9" i="17"/>
  <c r="AQ13" i="21"/>
  <c r="X16" i="16"/>
  <c r="BH18" i="16"/>
  <c r="U12" i="17"/>
  <c r="AZ10" i="11"/>
  <c r="BH16" i="16"/>
  <c r="BI16" i="11"/>
  <c r="BI18" i="11" s="1"/>
  <c r="BI11" i="11"/>
  <c r="T10" i="11"/>
  <c r="AM10" i="11"/>
  <c r="BI12" i="11"/>
  <c r="V17" i="20"/>
  <c r="U15" i="17"/>
  <c r="U18" i="17" s="1"/>
  <c r="V10" i="21"/>
  <c r="V13" i="21" s="1"/>
  <c r="V19" i="21" s="1"/>
  <c r="Q18" i="11"/>
  <c r="T13" i="11"/>
  <c r="X13" i="17"/>
  <c r="AT12" i="21"/>
  <c r="AL19" i="21"/>
  <c r="AB19" i="21"/>
  <c r="J21" i="20"/>
  <c r="J21" i="17"/>
  <c r="AM18" i="11"/>
  <c r="BE21" i="21"/>
  <c r="K19" i="21"/>
  <c r="AC13" i="11"/>
  <c r="B13" i="6"/>
  <c r="K19" i="2"/>
  <c r="D21" i="12"/>
  <c r="F13" i="2"/>
  <c r="BI18" i="16"/>
  <c r="AO18" i="17"/>
  <c r="H18" i="2"/>
  <c r="AO18" i="11"/>
  <c r="E18" i="6"/>
  <c r="AS19" i="21"/>
  <c r="E19" i="17"/>
  <c r="AG21" i="17"/>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BC20" i="16"/>
  <c r="AH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X20" i="21"/>
  <c r="AE20" i="11"/>
  <c r="AB20" i="11"/>
  <c r="BH13" i="11" l="1"/>
  <c r="BW21" i="20"/>
  <c r="BU21" i="17"/>
  <c r="Q12" i="11"/>
  <c r="Q16" i="11"/>
  <c r="P16" i="11"/>
  <c r="U19" i="17"/>
  <c r="U13" i="17"/>
  <c r="R18" i="20"/>
  <c r="R19" i="20" s="1"/>
  <c r="BJ18" i="11"/>
  <c r="BL18" i="11"/>
  <c r="V18" i="20"/>
  <c r="V19" i="20"/>
  <c r="BH18" i="11"/>
  <c r="BH19" i="11" s="1"/>
  <c r="V12" i="14"/>
  <c r="V13" i="14" s="1"/>
  <c r="V19" i="14" s="1"/>
  <c r="S13" i="14"/>
  <c r="S19" i="14" s="1"/>
  <c r="P17" i="11"/>
  <c r="AZ13" i="11"/>
  <c r="AZ19" i="11"/>
  <c r="BK13" i="11"/>
  <c r="BK19" i="11" s="1"/>
  <c r="P9" i="11"/>
  <c r="Q9" i="11"/>
  <c r="P15" i="11"/>
  <c r="BF18" i="11"/>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X19" i="14"/>
  <c r="M19" i="14"/>
  <c r="Z19" i="14"/>
  <c r="W19" i="14"/>
  <c r="AD19" i="14"/>
  <c r="V18" i="11"/>
  <c r="AA19" i="14"/>
  <c r="H19" i="14"/>
  <c r="BM20" i="16"/>
  <c r="O12" i="11"/>
  <c r="I20" i="12"/>
  <c r="BD19" i="8" l="1"/>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<sst xmlns="http://schemas.openxmlformats.org/spreadsheetml/2006/main" count="2102" uniqueCount="918">
  <si>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</si>
  <si>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</si>
  <si>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</si>
  <si>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</si>
  <si>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</si>
  <si>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</si>
  <si>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</si>
  <si>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</si>
  <si>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</si>
  <si>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</si>
  <si>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</si>
  <si>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</si>
  <si>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</si>
  <si>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</si>
  <si>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</si>
  <si>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</si>
  <si>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</si>
  <si>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</si>
  <si>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</si>
  <si>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</si>
  <si>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</si>
  <si>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</si>
  <si>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</si>
  <si>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</si>
  <si>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</si>
  <si>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</si>
  <si>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</si>
  <si>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</si>
  <si>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</si>
  <si>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</si>
  <si>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</si>
  <si>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</si>
  <si>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</si>
  <si>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</si>
  <si>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</si>
  <si>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</si>
  <si>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</si>
  <si>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</si>
  <si>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</si>
  <si>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</si>
  <si>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</si>
  <si>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</si>
  <si>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</si>
  <si>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</si>
  <si>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</si>
  <si>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</si>
  <si>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</si>
  <si>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</si>
  <si>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</si>
  <si>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</si>
  <si>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</si>
  <si>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</si>
  <si>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</si>
  <si>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</si>
  <si>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</si>
  <si>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</si>
  <si>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</si>
  <si>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</si>
  <si>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</si>
  <si>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</si>
  <si>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</si>
  <si>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</si>
  <si>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</si>
  <si>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</si>
  <si>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</si>
  <si>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</si>
  <si>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</si>
  <si>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</si>
  <si>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</si>
  <si>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</si>
  <si>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</si>
  <si>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</si>
  <si>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</si>
  <si>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</si>
  <si>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</si>
  <si>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</si>
  <si>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</si>
  <si>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</si>
  <si>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</si>
  <si>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</si>
  <si>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</si>
  <si>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</si>
  <si>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</si>
  <si>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</si>
  <si>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</si>
  <si>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</si>
  <si>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</si>
  <si>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</si>
  <si>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</si>
  <si>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</si>
  <si>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</si>
  <si>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</si>
  <si>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</si>
  <si>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</si>
  <si>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</si>
  <si>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</si>
  <si>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</si>
  <si>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</si>
  <si>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</si>
  <si>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</si>
  <si>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</si>
  <si>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</si>
  <si>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</si>
  <si>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</si>
  <si>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</si>
  <si>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</si>
  <si>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</si>
  <si>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</si>
  <si>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</si>
  <si>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</si>
  <si>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</si>
  <si>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</si>
  <si>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</si>
  <si>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</si>
  <si>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</si>
  <si>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</si>
  <si>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</si>
  <si>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</si>
  <si>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</si>
  <si>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</si>
  <si>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</si>
  <si>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</si>
  <si>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</si>
  <si>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</si>
  <si>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</si>
  <si>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</si>
  <si>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</si>
  <si>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</si>
  <si>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</si>
  <si>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</si>
  <si>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</si>
  <si>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</si>
  <si>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</si>
  <si>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</si>
  <si>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</si>
  <si>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</si>
  <si>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</si>
  <si>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</si>
  <si>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</si>
  <si>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</si>
  <si>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</si>
  <si>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</si>
  <si>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</si>
  <si>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</si>
  <si>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</si>
  <si>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</si>
  <si>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</si>
  <si>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</si>
  <si>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</si>
  <si>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</si>
  <si>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</si>
  <si>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</si>
  <si>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</si>
  <si>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</si>
  <si>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</si>
  <si>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</si>
  <si>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</si>
  <si>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</si>
  <si>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</si>
  <si>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</si>
  <si>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</si>
  <si>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</si>
  <si>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</si>
  <si>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</si>
  <si>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</si>
  <si>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</si>
  <si>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</si>
  <si>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</si>
  <si>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</si>
  <si>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</si>
  <si>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</si>
  <si>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</si>
  <si>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</si>
  <si>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</si>
  <si>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</si>
  <si>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</si>
  <si>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</si>
  <si>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</si>
  <si>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</si>
  <si>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</si>
  <si>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</si>
  <si>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</si>
  <si>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</si>
  <si>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</si>
  <si>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</si>
  <si>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</si>
  <si>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</si>
  <si>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</si>
  <si>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</si>
  <si>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</si>
  <si>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</si>
  <si>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</si>
  <si>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</si>
  <si>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</si>
  <si>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</si>
  <si>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</si>
  <si>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</si>
  <si>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</si>
  <si>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</si>
  <si>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</si>
  <si>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</si>
  <si>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</si>
  <si>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</si>
  <si>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</si>
  <si>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</si>
  <si>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</si>
  <si>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</si>
  <si>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</si>
  <si>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</si>
  <si>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</si>
  <si>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</si>
  <si>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</si>
  <si>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</si>
  <si>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</si>
  <si>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</si>
  <si>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</si>
  <si>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</si>
  <si>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</si>
  <si>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</si>
  <si>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</si>
  <si>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</si>
  <si>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</si>
  <si>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</si>
  <si>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</si>
  <si>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</si>
  <si>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</si>
  <si>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</si>
  <si>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</si>
  <si>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</si>
  <si>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</si>
  <si>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</si>
  <si>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</si>
  <si>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</si>
  <si>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</si>
  <si>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</si>
  <si>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</si>
  <si>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</si>
  <si>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</si>
  <si>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</si>
  <si>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</si>
  <si>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</si>
  <si>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</si>
  <si>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</si>
  <si>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</si>
  <si>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</si>
  <si>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</si>
  <si>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</si>
  <si>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</si>
  <si>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</si>
  <si>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</si>
  <si>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</si>
  <si>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</si>
  <si>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</si>
  <si>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</si>
  <si>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</si>
  <si>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</si>
  <si>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</si>
  <si>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</si>
  <si>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</si>
  <si>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</si>
  <si>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</si>
  <si>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</si>
  <si>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</si>
  <si>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</si>
  <si>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</si>
  <si>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</si>
  <si>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</si>
  <si>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</si>
  <si>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</si>
  <si>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</si>
  <si>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</si>
  <si>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</si>
  <si>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</si>
  <si>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</si>
  <si>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</si>
  <si>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</si>
  <si>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</si>
  <si>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</si>
  <si>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</si>
  <si>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</si>
  <si>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</si>
  <si>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</si>
  <si>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</si>
  <si>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</si>
  <si>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</si>
  <si>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</si>
  <si>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</si>
  <si>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</si>
  <si>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</si>
  <si>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</si>
  <si>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</si>
  <si>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</si>
  <si>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</si>
  <si>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</si>
  <si>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</si>
  <si>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</si>
  <si>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</si>
  <si>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</si>
  <si>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</si>
  <si>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</si>
  <si>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</si>
  <si>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</si>
  <si>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</si>
  <si>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</si>
  <si>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</si>
  <si>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</si>
  <si>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</si>
  <si>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</si>
  <si>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</si>
  <si>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</si>
  <si>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</si>
  <si>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</si>
  <si>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</si>
  <si>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</si>
  <si>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</si>
  <si>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</si>
  <si>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</si>
  <si>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</si>
  <si>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</si>
  <si>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</si>
  <si>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</si>
  <si>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</si>
  <si>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</si>
  <si>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</si>
  <si>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</si>
  <si>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</si>
  <si>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</si>
  <si>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</si>
  <si>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</si>
  <si>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</si>
  <si>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</si>
  <si>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</si>
  <si>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</si>
  <si>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</si>
  <si>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</si>
  <si>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</si>
  <si>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</si>
  <si>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</si>
  <si>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</si>
  <si>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</si>
  <si>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</si>
  <si>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</si>
  <si>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</si>
  <si>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</si>
  <si>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</si>
  <si>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</si>
  <si>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</si>
  <si>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</si>
  <si>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</si>
  <si>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</si>
  <si>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</si>
  <si>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</si>
  <si>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</si>
  <si>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</si>
  <si>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</si>
  <si>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</si>
  <si>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</si>
  <si>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</si>
  <si>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</si>
  <si>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</si>
  <si>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</si>
  <si>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</si>
  <si>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</si>
  <si>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</si>
  <si>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</si>
  <si>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</si>
  <si>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</si>
  <si>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</si>
  <si>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</si>
  <si>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</si>
  <si>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</si>
  <si>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</si>
  <si>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</si>
  <si>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</si>
  <si>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</si>
  <si>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</si>
  <si>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</si>
  <si>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</si>
  <si>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</si>
  <si>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</si>
  <si>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</si>
  <si>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</si>
  <si>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</si>
  <si>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</si>
  <si>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</si>
  <si>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</si>
  <si>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</si>
  <si>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</si>
  <si>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</si>
  <si>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</si>
  <si>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</si>
  <si>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</si>
  <si>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</si>
  <si>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</si>
  <si>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</si>
  <si>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</si>
  <si>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</si>
  <si>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</si>
  <si>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</si>
  <si>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</si>
  <si>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</si>
  <si>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</si>
  <si>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</si>
  <si>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</si>
  <si>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</si>
  <si>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</si>
  <si>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</si>
  <si>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</si>
  <si>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</si>
  <si>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</si>
  <si>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</si>
  <si>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</si>
  <si>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</si>
  <si>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</si>
  <si>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</si>
  <si>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</si>
  <si>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</si>
  <si>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</si>
  <si>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</si>
  <si>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</si>
  <si>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</si>
  <si>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</si>
  <si>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</si>
  <si>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</si>
  <si>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</si>
  <si>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</si>
  <si>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</si>
  <si>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</si>
  <si>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</si>
  <si>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</si>
  <si>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</si>
  <si>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</si>
  <si>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</si>
  <si>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</si>
  <si>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</si>
  <si>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</si>
  <si>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</si>
  <si>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</si>
  <si>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</si>
  <si>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</si>
  <si>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</si>
  <si>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</si>
  <si>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</si>
  <si>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</si>
  <si>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</si>
  <si>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</si>
  <si>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</si>
  <si>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</si>
  <si>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</si>
  <si>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</si>
  <si>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</si>
  <si>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</si>
  <si>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</si>
  <si>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</si>
  <si>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</si>
  <si>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</si>
  <si>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</si>
  <si>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</si>
  <si>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</si>
  <si>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</si>
  <si>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</si>
  <si>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</si>
  <si>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</si>
  <si>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</si>
  <si>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</si>
  <si>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</si>
  <si>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</si>
  <si>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</si>
  <si>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</si>
  <si>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</si>
  <si>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</si>
  <si>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</si>
  <si>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</si>
  <si>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</si>
  <si>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</si>
  <si>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</si>
  <si>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</si>
  <si>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</si>
  <si>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</si>
  <si>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</si>
  <si>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</si>
  <si>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</si>
  <si>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</si>
  <si>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</si>
  <si>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</si>
  <si>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</si>
  <si>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</si>
  <si>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</si>
  <si>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</si>
  <si>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</si>
  <si>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</si>
  <si>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</si>
  <si>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</si>
  <si>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</si>
  <si>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</si>
  <si>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</si>
  <si>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</si>
  <si>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</si>
  <si>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</si>
  <si>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</si>
  <si>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</si>
  <si>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</si>
  <si>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</si>
  <si>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</si>
  <si>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</si>
  <si>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</si>
  <si>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</si>
  <si>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</si>
  <si>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</si>
  <si>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</si>
  <si>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</si>
  <si>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</si>
  <si>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</si>
  <si>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</si>
  <si>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</si>
  <si>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</si>
  <si>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</si>
  <si>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</si>
  <si>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</si>
  <si>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</si>
  <si>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</si>
  <si>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</si>
  <si>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</si>
  <si>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</si>
  <si>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</si>
  <si>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</si>
  <si>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</si>
  <si>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</si>
  <si>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</si>
  <si>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</si>
  <si>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</si>
  <si>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</si>
  <si>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</si>
  <si>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</si>
  <si>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</si>
  <si>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</si>
  <si>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</si>
  <si>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</si>
  <si>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</si>
  <si>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</si>
  <si>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</si>
  <si>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</si>
  <si>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</si>
  <si>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</si>
  <si>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</si>
  <si>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</si>
  <si>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</si>
  <si>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</si>
  <si>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</si>
  <si>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</si>
  <si>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</si>
  <si>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</si>
  <si>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</si>
  <si>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</si>
  <si>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</si>
  <si>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</si>
  <si>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</si>
  <si>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</si>
  <si>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</si>
  <si>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</si>
  <si>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</si>
  <si>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</si>
  <si>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</si>
  <si>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</si>
  <si>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</si>
  <si>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</si>
  <si>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</si>
  <si>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</si>
  <si>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</si>
  <si>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</si>
  <si>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</si>
  <si>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</si>
  <si>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</si>
  <si>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</si>
  <si>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</si>
  <si>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</si>
  <si>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</si>
  <si>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</si>
  <si>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</si>
  <si>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</si>
  <si>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</si>
  <si>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</si>
  <si>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</si>
  <si>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</si>
  <si>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</si>
  <si>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</si>
  <si>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</si>
  <si>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</si>
  <si>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</si>
  <si>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</si>
  <si>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</si>
  <si>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</si>
  <si>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</si>
  <si>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</si>
  <si>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</si>
  <si>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</si>
  <si>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</si>
  <si>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</si>
  <si>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</si>
  <si>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</si>
  <si>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</si>
  <si>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</si>
  <si>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</si>
  <si>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</si>
  <si>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</si>
  <si>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</si>
  <si>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</si>
  <si>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</si>
  <si>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</si>
  <si>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</si>
  <si>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</si>
  <si>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</si>
  <si>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</si>
  <si>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</si>
  <si>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</si>
  <si>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</si>
  <si>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</si>
  <si>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</si>
  <si>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</si>
  <si>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</si>
  <si>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</si>
  <si>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</si>
  <si>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</si>
  <si>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</si>
  <si>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</si>
  <si>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</si>
  <si>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</si>
  <si>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</si>
  <si>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</si>
  <si>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</si>
  <si>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</si>
  <si>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</si>
  <si>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</si>
  <si>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</si>
  <si>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</si>
  <si>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</si>
  <si>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</si>
  <si>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</si>
  <si>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</si>
  <si>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</si>
  <si>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</si>
  <si>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</si>
  <si>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</si>
  <si>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</si>
  <si>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</si>
  <si>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</si>
  <si>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</si>
  <si>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</si>
  <si>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</si>
  <si>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</si>
  <si>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</si>
  <si>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</si>
  <si>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</si>
  <si>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</si>
  <si>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</si>
  <si>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</si>
  <si>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</si>
  <si>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</si>
  <si>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</si>
  <si>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</si>
  <si>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</si>
  <si>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</si>
  <si>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</si>
  <si>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</si>
  <si>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</si>
  <si>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</si>
  <si>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</si>
  <si>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</si>
  <si>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</si>
  <si>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</si>
  <si>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</si>
  <si>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</si>
  <si>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</si>
  <si>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</si>
  <si>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</si>
  <si>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</si>
  <si>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</si>
  <si>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</si>
  <si>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</si>
  <si>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</si>
  <si>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</si>
  <si>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</si>
  <si>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</si>
  <si>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</si>
  <si>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</si>
  <si>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</si>
  <si>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</si>
  <si>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</si>
  <si>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</si>
  <si>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</si>
  <si>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</si>
  <si>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</si>
  <si>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</si>
  <si>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</si>
  <si>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</si>
  <si>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</si>
  <si>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</si>
  <si>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</si>
  <si>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</si>
  <si>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</si>
  <si>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</si>
  <si>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</si>
  <si>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</si>
  <si>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</si>
  <si>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</si>
  <si>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</si>
  <si>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</si>
  <si>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</si>
  <si>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</si>
  <si>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</si>
  <si>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</si>
  <si>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</si>
  <si>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</si>
  <si>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</si>
  <si>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</si>
  <si>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</si>
  <si>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</si>
  <si>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</si>
  <si>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</si>
  <si>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</si>
  <si>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</si>
  <si>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</si>
  <si>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</si>
  <si>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</si>
  <si>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</si>
  <si>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</si>
  <si>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</si>
  <si>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</si>
  <si>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</si>
  <si>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</si>
  <si>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</si>
  <si>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</si>
  <si>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</si>
  <si>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</si>
  <si>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</si>
  <si>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</si>
  <si>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</si>
  <si>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</si>
  <si>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</si>
  <si>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</si>
  <si>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</si>
  <si>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</si>
  <si>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</si>
  <si>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</si>
  <si>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</si>
  <si>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</si>
  <si>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</si>
  <si>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</si>
  <si>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</si>
  <si>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</si>
  <si>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</si>
  <si>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</si>
  <si>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</si>
  <si>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</si>
  <si>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</si>
  <si>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</si>
  <si>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</si>
  <si>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</si>
  <si>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</si>
  <si>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</si>
  <si>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</si>
  <si>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</si>
  <si>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</si>
  <si>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</si>
  <si>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</si>
  <si>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</si>
  <si>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</si>
  <si>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</si>
  <si>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</si>
  <si>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</si>
  <si>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</si>
  <si>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</si>
  <si>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</si>
  <si>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</si>
  <si>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</si>
  <si>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</si>
  <si>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</si>
  <si>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</si>
  <si>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</si>
  <si>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</si>
  <si>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</si>
  <si>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</si>
  <si>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</si>
  <si>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</si>
  <si>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</si>
  <si>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</si>
  <si>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</si>
  <si>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</si>
  <si>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</si>
  <si>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</si>
  <si>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</si>
  <si>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</si>
  <si>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</si>
  <si>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</si>
  <si>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</si>
  <si>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</si>
  <si>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</si>
  <si>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</si>
  <si>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</si>
  <si>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</si>
  <si>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</si>
  <si>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</si>
  <si>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</si>
  <si>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</si>
  <si>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</si>
  <si>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</si>
  <si>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</si>
  <si>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</si>
  <si>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</si>
  <si>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</si>
  <si>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</si>
  <si>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</si>
  <si>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</si>
  <si>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</si>
  <si>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</si>
  <si>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</si>
  <si>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</si>
  <si>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</si>
  <si>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</si>
  <si>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</si>
  <si>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</si>
  <si>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</si>
  <si>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</si>
  <si>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</si>
  <si>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</si>
  <si>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</si>
  <si>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</si>
  <si>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</si>
  <si>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</si>
  <si>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</si>
  <si>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</si>
  <si>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</si>
  <si>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</si>
  <si>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</si>
  <si>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</si>
  <si>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</si>
  <si>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</si>
  <si>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</si>
  <si>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</si>
  <si>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</si>
  <si>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</si>
  <si>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</si>
  <si>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</si>
  <si>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</si>
  <si>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</si>
  <si>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</si>
  <si>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</si>
  <si>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</si>
  <si>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</si>
  <si>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</si>
  <si>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</si>
  <si>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</si>
  <si>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</si>
  <si>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</si>
  <si>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</si>
  <si>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</si>
  <si>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</si>
  <si>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</si>
  <si>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</si>
  <si>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</si>
  <si>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</si>
  <si>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</si>
  <si>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</si>
  <si>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</si>
  <si>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</si>
  <si>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</si>
  <si>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</si>
  <si>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</si>
  <si>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</si>
  <si>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</si>
  <si>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</si>
  <si>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</si>
  <si>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</si>
  <si>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</si>
  <si>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</si>
  <si>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</si>
  <si>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</si>
  <si>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</si>
  <si>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</si>
  <si>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</si>
  <si>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</si>
  <si>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</si>
  <si>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</si>
  <si>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</si>
  <si>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</si>
  <si>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</si>
  <si>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</si>
  <si>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</si>
  <si>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</si>
  <si>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</si>
  <si>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</si>
  <si>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</si>
  <si>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</si>
  <si>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</si>
  <si>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</si>
  <si>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</si>
  <si>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</si>
  <si>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</si>
  <si>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</si>
  <si>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</si>
  <si>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</si>
  <si>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</si>
  <si>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</si>
  <si>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</si>
  <si>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</si>
  <si>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</si>
  <si>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</si>
  <si>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</si>
  <si>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</si>
  <si>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</si>
  <si>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</si>
  <si>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17 mar. 2026</t>
  </si>
  <si>
    <t>Tribunales de Justicia</t>
  </si>
  <si>
    <t>ANDALUCIA</t>
  </si>
  <si>
    <t>Provincias</t>
  </si>
  <si>
    <t>CADIZ</t>
  </si>
  <si>
    <t>Resumenes por Partidos Judiciales</t>
  </si>
  <si>
    <t>LINEA DE LA CONCEPCION, 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</si>
</sst>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4</v>
      </c>
      <c r="E5" s="371"/>
      <c r="F5" s="3"/>
      <c r="H5" t="s">
        <v>424</v>
      </c>
      <c r="Q5" s="345">
        <v>3</v>
      </c>
      <c r="R5" s="345">
        <v>2</v>
      </c>
      <c r="S5" t="b">
        <f>AND(Q5&gt;=TrimIni,Q5&lt;=TrimFin)</f>
        <v>0</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OaBz6QFv/zFm8dRYwkpe389+oFt9RmJ6nJhet6HhD9ySZS0TJcn7gg4QfBnWGcPDnoRkjXf3r32cr3v+sAI/ag==" saltValue="AHtk+ILO43YOYf6eLkcMp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ANDALUCIA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4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0</v>
      </c>
      <c r="D10" s="224">
        <f>IF(ISNUMBER(Datos!I10),Datos!I10," - ")</f>
        <v>0</v>
      </c>
      <c r="E10" s="225">
        <f>IF(ISNUMBER(Datos!J10),Datos!J10," - ")</f>
        <v>0</v>
      </c>
      <c r="F10" s="225">
        <f>IF(ISNUMBER(Datos!K10),Datos!K10," - ")</f>
        <v>0</v>
      </c>
      <c r="G10" s="1033" t="str">
        <f>IF(Datos!E10&lt;&gt;"",Datos!E10,Datos!D10)</f>
        <v>37</v>
      </c>
      <c r="H10" s="226">
        <f>IF(ISNUMBER(Datos!L10),Datos!L10," - ")</f>
        <v>0</v>
      </c>
      <c r="I10" s="1043" t="str">
        <f>IF(ISNUMBER(Datos!AS10/Datos!BM10),Datos!AS10/Datos!BM10," - ")</f>
        <v xml:space="preserve"> - </v>
      </c>
      <c r="J10" s="1044">
        <f>IF(ISNUMBER(Datos!BY10/Datos!CN10),Datos!BY10/Datos!CN10," - ")</f>
        <v>0</v>
      </c>
      <c r="K10" s="229" t="str">
        <f t="shared" ref="K10:K12" si="1">IF(ISNUMBER((E10-F10)/C10),(E10-F10)/C10," - ")</f>
        <v xml:space="preserve"> - </v>
      </c>
      <c r="L10" s="1024" t="str">
        <f>IF(ISNUMBER(NºAsuntos!I10/NºAsuntos!G10),(NºAsuntos!I10/NºAsuntos!G10)*11," - ")</f>
        <v xml:space="preserve"> - </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5</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35.309203722854186</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0</v>
      </c>
      <c r="D13" s="1048">
        <f>SUBTOTAL(9,D9:D12)</f>
        <v>0</v>
      </c>
      <c r="E13" s="1049">
        <f>SUBTOTAL(9,E9:E12)</f>
        <v>0</v>
      </c>
      <c r="F13" s="1050">
        <f>SUBTOTAL(9,F9:F12)</f>
        <v>0</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5</v>
      </c>
      <c r="B16" s="501" t="str">
        <f>Datos!A16</f>
        <v xml:space="preserve">Jdos. 1ª Instª. e Instr./Secc. Civil y de Inst. TI                      </v>
      </c>
      <c r="C16" s="224">
        <f t="shared" si="2"/>
        <v>1994</v>
      </c>
      <c r="D16" s="224">
        <f>IF(ISNUMBER(IF(D_I="SI",Datos!I16,Datos!I16+Datos!AC16)),IF(D_I="SI",Datos!I16,Datos!I16+Datos!AC16)," - ")</f>
        <v>2230</v>
      </c>
      <c r="E16" s="225">
        <f>IF(ISNUMBER(IF(D_I="SI",Datos!J16,Datos!J16+Datos!AD16)),IF(D_I="SI",Datos!J16,Datos!J16+Datos!AD16)," - ")</f>
        <v>577</v>
      </c>
      <c r="F16" s="225">
        <f>IF(ISNUMBER(IF(D_I="SI",Datos!K16,Datos!K16+Datos!AE16)),IF(D_I="SI",Datos!K16,Datos!K16+Datos!AE16)," - ")</f>
        <v>431</v>
      </c>
      <c r="G16" s="1033" t="str">
        <f>IF(Datos!E16&lt;&gt;"",Datos!E16,Datos!D16)</f>
        <v>04</v>
      </c>
      <c r="H16" s="226">
        <f>IF(ISNUMBER(IF(D_I="SI",Datos!L16,Datos!L16+Datos!AF16)),IF(D_I="SI",Datos!L16,Datos!L16+Datos!AF16)," - ")</f>
        <v>2140</v>
      </c>
      <c r="I16" s="1043" t="str">
        <f>IF(ISNUMBER(Datos!AS16/Datos!BM16),Datos!AS16/Datos!BM16," - ")</f>
        <v xml:space="preserve"> - </v>
      </c>
      <c r="J16" s="1044">
        <f>IF(ISNUMBER(Datos!BY16/Datos!CN16),Datos!BY16/Datos!CN16," - ")</f>
        <v>0</v>
      </c>
      <c r="K16" s="229">
        <f t="shared" si="3"/>
        <v>7.3219658976930793E-2</v>
      </c>
      <c r="L16" s="1024">
        <f>IF(ISNUMBER(NºAsuntos!I16/NºAsuntos!G16),(NºAsuntos!I16/NºAsuntos!G16)*11," - ")</f>
        <v>54.617169373549885</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3</v>
      </c>
      <c r="D17" s="224">
        <f>IF(ISNUMBER(IF(D_I="SI",Datos!I17,Datos!I17+Datos!AC17)),IF(D_I="SI",Datos!I17,Datos!I17+Datos!AC17)," - ")</f>
        <v>3</v>
      </c>
      <c r="E17" s="225">
        <f>IF(ISNUMBER(IF(D_I="SI",Datos!J17,Datos!J17+Datos!AD17)),IF(D_I="SI",Datos!J17,Datos!J17+Datos!AD17)," - ")</f>
        <v>0</v>
      </c>
      <c r="F17" s="225">
        <f>IF(ISNUMBER(IF(D_I="SI",Datos!K17,Datos!K17+Datos!AE17)),IF(D_I="SI",Datos!K17,Datos!K17+Datos!AE17)," - ")</f>
        <v>0</v>
      </c>
      <c r="G17" s="1033" t="str">
        <f>IF(Datos!E17&lt;&gt;"",Datos!E17,Datos!D17)</f>
        <v>37</v>
      </c>
      <c r="H17" s="226">
        <f>IF(ISNUMBER(IF(D_I="SI",Datos!L17,Datos!L17+Datos!AF17)),IF(D_I="SI",Datos!L17,Datos!L17+Datos!AF17)," - ")</f>
        <v>3</v>
      </c>
      <c r="I17" s="1043" t="str">
        <f>IF(ISNUMBER(Datos!AS17/Datos!BM17),Datos!AS17/Datos!BM17," - ")</f>
        <v xml:space="preserve"> - </v>
      </c>
      <c r="J17" s="1044" t="str">
        <f>IF(ISNUMBER((Datos!BY17+Datos!BZ17)/Datos!CN17),(Datos!BY17+Datos!BZ17)/Datos!CN17," - ")</f>
        <v xml:space="preserve"> - </v>
      </c>
      <c r="K17" s="229">
        <f t="shared" si="3"/>
        <v>0</v>
      </c>
      <c r="L17" s="1024" t="str">
        <f>IF(ISNUMBER(NºAsuntos!I17/NºAsuntos!G17),(NºAsuntos!I17/NºAsuntos!G17)*11," - ")</f>
        <v xml:space="preserve"> - </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1997</v>
      </c>
      <c r="D18" s="1048">
        <f>SUBTOTAL(9,D15:D17)</f>
        <v>2233</v>
      </c>
      <c r="E18" s="1049">
        <f>SUBTOTAL(9,E15:E17)</f>
        <v>577</v>
      </c>
      <c r="F18" s="1049">
        <f>SUBTOTAL(9,F15:F17)</f>
        <v>431</v>
      </c>
      <c r="G18" s="1051" t="str">
        <f ca="1">INDIRECT(CONCATENATE("G",ROW()-1))</f>
        <v>37</v>
      </c>
      <c r="H18" s="1052">
        <f ca="1">SUMIF(G$14:G17,G18,H$14:H17)</f>
        <v>3</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1997</v>
      </c>
      <c r="D19" s="1070">
        <f>SUBTOTAL(9,D9:D18)</f>
        <v>2233</v>
      </c>
      <c r="E19" s="1071">
        <f>SUBTOTAL(9,E9:E18)</f>
        <v>577</v>
      </c>
      <c r="F19" s="1071">
        <f>SUBTOTAL(9,F9:F18)</f>
        <v>431</v>
      </c>
      <c r="G19" s="1072"/>
      <c r="H19" s="1073">
        <f ca="1">SUMIF(B9:B18,"TOTAL",H9:H18)</f>
        <v>3</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17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UBHaehYkngXTpGYbCaZbpi8+gkFOAZqXSWmfL8FsIW3lfA+E4Msknbnt24b/jPPF/xAsXoUMNwH6p4kaKyg/qw==" saltValue="8sEA2/42q0ohpSrZSnCmJA=="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TtEqpHO1QGseAObSNT6qzlEFq1RJHTya2oo0rn3NNejknHo626vqHKVxjmM4L3XhjvcosjdHEJ3WoLE1HBduXw==" saltValue="ncMczJCsfosUZxX3c8ytj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CADIZ</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0</v>
      </c>
      <c r="J10" s="180">
        <v>0</v>
      </c>
      <c r="K10" s="180">
        <v>0</v>
      </c>
      <c r="L10" s="180">
        <v>0</v>
      </c>
      <c r="M10" s="180">
        <v>0</v>
      </c>
      <c r="N10" s="180">
        <v>0</v>
      </c>
      <c r="O10" s="180">
        <v>0</v>
      </c>
      <c r="P10" s="180">
        <v>0</v>
      </c>
      <c r="Q10" s="180">
        <v>0</v>
      </c>
      <c r="R10" s="180">
        <v>0</v>
      </c>
      <c r="S10" s="180">
        <v>0</v>
      </c>
      <c r="T10" s="180">
        <v>0</v>
      </c>
      <c r="U10" s="180">
        <v>0</v>
      </c>
      <c r="V10" s="180">
        <v>0</v>
      </c>
      <c r="W10" s="180">
        <v>0</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0</v>
      </c>
      <c r="AZ10" s="129">
        <f t="shared" si="0"/>
        <v>0</v>
      </c>
      <c r="BA10" s="129">
        <f t="shared" si="0"/>
        <v>0</v>
      </c>
      <c r="BB10" s="129">
        <f t="shared" si="0"/>
        <v>0</v>
      </c>
      <c r="BC10" s="125">
        <f t="shared" si="0"/>
        <v>0</v>
      </c>
      <c r="BD10" s="126" t="str">
        <f>IF(ISNUMBER(BA10/AZ10),BA10/AZ10," - ")</f>
        <v xml:space="preserve"> - </v>
      </c>
      <c r="BE10" s="127" t="str">
        <f>IF(ISNUMBER(BB10/BA10),BB10/BA10, " - ")</f>
        <v xml:space="preserve"> - </v>
      </c>
      <c r="BF10" s="127" t="str">
        <f>IF(ISNUMBER(BC10/BA10),BC10/BA10, " - ")</f>
        <v xml:space="preserve"> - </v>
      </c>
      <c r="BG10" s="195" t="str">
        <f>IF(ISNUMBER((AY10+AZ10)/BA10),(AY10+AZ10)/BA10," - ")</f>
        <v xml:space="preserve"> - </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4179</v>
      </c>
      <c r="J12" s="182">
        <v>574</v>
      </c>
      <c r="K12" s="182">
        <v>884</v>
      </c>
      <c r="L12" s="182">
        <v>3005</v>
      </c>
      <c r="M12" s="182">
        <v>219</v>
      </c>
      <c r="N12" s="182">
        <v>326</v>
      </c>
      <c r="O12" s="180">
        <v>414</v>
      </c>
      <c r="P12" s="182">
        <v>250</v>
      </c>
      <c r="Q12" s="182">
        <v>48</v>
      </c>
      <c r="R12" s="182">
        <v>3763</v>
      </c>
      <c r="S12" s="182">
        <v>3840</v>
      </c>
      <c r="T12" s="182">
        <v>893</v>
      </c>
      <c r="U12" s="182">
        <v>639</v>
      </c>
      <c r="V12" s="182">
        <v>4094</v>
      </c>
      <c r="W12" s="182">
        <v>168</v>
      </c>
      <c r="X12" s="188">
        <v>224</v>
      </c>
      <c r="Y12" s="190">
        <v>117</v>
      </c>
      <c r="Z12" s="180">
        <v>84</v>
      </c>
      <c r="AA12" s="180">
        <v>83</v>
      </c>
      <c r="AB12" s="180">
        <v>99</v>
      </c>
      <c r="AC12" s="182">
        <v>0</v>
      </c>
      <c r="AD12" s="182">
        <v>0</v>
      </c>
      <c r="AE12" s="182">
        <v>0</v>
      </c>
      <c r="AF12" s="188">
        <v>0</v>
      </c>
      <c r="AG12" s="201">
        <v>36</v>
      </c>
      <c r="AH12" s="182">
        <v>65</v>
      </c>
      <c r="AI12" s="182">
        <v>53</v>
      </c>
      <c r="AJ12" s="202">
        <v>48</v>
      </c>
      <c r="AK12" s="181">
        <v>0</v>
      </c>
      <c r="AL12" s="182">
        <v>0</v>
      </c>
      <c r="AM12" s="182">
        <v>0</v>
      </c>
      <c r="AN12" s="188">
        <v>0</v>
      </c>
      <c r="AO12" s="258">
        <v>5</v>
      </c>
      <c r="AP12" s="154">
        <v>5</v>
      </c>
      <c r="AQ12" s="154">
        <v>5</v>
      </c>
      <c r="AR12" s="153">
        <v>5</v>
      </c>
      <c r="AS12" s="339" t="s">
        <v>794</v>
      </c>
      <c r="AT12" s="202"/>
      <c r="AU12" s="201"/>
      <c r="AV12" s="202"/>
      <c r="AW12" s="201"/>
      <c r="AX12" s="202"/>
      <c r="AY12" s="126">
        <f t="shared" si="1"/>
        <v>3876</v>
      </c>
      <c r="AZ12" s="127">
        <f t="shared" si="1"/>
        <v>958</v>
      </c>
      <c r="BA12" s="127">
        <f t="shared" si="1"/>
        <v>692</v>
      </c>
      <c r="BB12" s="127">
        <f t="shared" si="1"/>
        <v>4142</v>
      </c>
      <c r="BC12" s="125">
        <f>IF(ISNUMBER(X12),X12," - ")</f>
        <v>224</v>
      </c>
      <c r="BD12" s="126">
        <f t="shared" si="2"/>
        <v>0.72233820459290188</v>
      </c>
      <c r="BE12" s="127">
        <f t="shared" si="3"/>
        <v>5.9855491329479769</v>
      </c>
      <c r="BF12" s="127">
        <f t="shared" si="4"/>
        <v>0.32369942196531792</v>
      </c>
      <c r="BG12" s="195">
        <f t="shared" si="5"/>
        <v>6.9855491329479769</v>
      </c>
      <c r="BH12" s="154">
        <v>5</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4179</v>
      </c>
      <c r="J13" s="183">
        <f t="shared" si="6"/>
        <v>574</v>
      </c>
      <c r="K13" s="183">
        <f t="shared" si="6"/>
        <v>884</v>
      </c>
      <c r="L13" s="183">
        <f t="shared" si="6"/>
        <v>3005</v>
      </c>
      <c r="M13" s="183">
        <f t="shared" si="6"/>
        <v>219</v>
      </c>
      <c r="N13" s="183">
        <f t="shared" si="6"/>
        <v>326</v>
      </c>
      <c r="O13" s="183">
        <f t="shared" si="6"/>
        <v>414</v>
      </c>
      <c r="P13" s="183">
        <f t="shared" si="6"/>
        <v>250</v>
      </c>
      <c r="Q13" s="183">
        <f t="shared" si="6"/>
        <v>48</v>
      </c>
      <c r="R13" s="183">
        <f t="shared" si="6"/>
        <v>3763</v>
      </c>
      <c r="S13" s="183">
        <f t="shared" si="6"/>
        <v>3840</v>
      </c>
      <c r="T13" s="183">
        <f t="shared" si="6"/>
        <v>893</v>
      </c>
      <c r="U13" s="183">
        <f t="shared" si="6"/>
        <v>639</v>
      </c>
      <c r="V13" s="183">
        <f t="shared" si="6"/>
        <v>4094</v>
      </c>
      <c r="W13" s="183">
        <f t="shared" si="6"/>
        <v>168</v>
      </c>
      <c r="X13" s="183">
        <f t="shared" si="6"/>
        <v>224</v>
      </c>
      <c r="Y13" s="183">
        <f t="shared" si="6"/>
        <v>117</v>
      </c>
      <c r="Z13" s="183">
        <f t="shared" si="6"/>
        <v>84</v>
      </c>
      <c r="AA13" s="183">
        <f t="shared" si="6"/>
        <v>83</v>
      </c>
      <c r="AB13" s="183">
        <f t="shared" si="6"/>
        <v>99</v>
      </c>
      <c r="AC13" s="183">
        <f t="shared" si="6"/>
        <v>0</v>
      </c>
      <c r="AD13" s="183">
        <f t="shared" si="6"/>
        <v>0</v>
      </c>
      <c r="AE13" s="183">
        <f t="shared" si="6"/>
        <v>0</v>
      </c>
      <c r="AF13" s="183">
        <f>SUBTOTAL(9,AF9:AF12)</f>
        <v>0</v>
      </c>
      <c r="AG13" s="183">
        <f t="shared" ref="AG13:AT13" si="7">SUBTOTAL(9,AG8:AG12)</f>
        <v>36</v>
      </c>
      <c r="AH13" s="183">
        <f t="shared" si="7"/>
        <v>65</v>
      </c>
      <c r="AI13" s="183">
        <f t="shared" si="7"/>
        <v>53</v>
      </c>
      <c r="AJ13" s="183">
        <f t="shared" si="7"/>
        <v>48</v>
      </c>
      <c r="AK13" s="183">
        <f t="shared" si="7"/>
        <v>0</v>
      </c>
      <c r="AL13" s="183">
        <f t="shared" si="7"/>
        <v>0</v>
      </c>
      <c r="AM13" s="183">
        <f t="shared" si="7"/>
        <v>0</v>
      </c>
      <c r="AN13" s="183">
        <f t="shared" si="7"/>
        <v>0</v>
      </c>
      <c r="AO13" s="183">
        <f t="shared" si="7"/>
        <v>6</v>
      </c>
      <c r="AP13" s="183">
        <f t="shared" si="7"/>
        <v>5</v>
      </c>
      <c r="AQ13" s="183">
        <f t="shared" si="7"/>
        <v>5</v>
      </c>
      <c r="AR13" s="183">
        <f t="shared" si="7"/>
        <v>5</v>
      </c>
      <c r="AS13" s="183">
        <f t="shared" si="7"/>
        <v>0</v>
      </c>
      <c r="AT13" s="183">
        <f t="shared" si="7"/>
        <v>0</v>
      </c>
      <c r="AU13" s="203"/>
      <c r="AV13" s="132"/>
      <c r="AW13" s="203"/>
      <c r="AX13" s="132"/>
      <c r="AY13" s="183">
        <f>SUBTOTAL(9,AY8:AY12)</f>
        <v>3876</v>
      </c>
      <c r="AZ13" s="183">
        <f>SUBTOTAL(9,AZ8:AZ12)</f>
        <v>958</v>
      </c>
      <c r="BA13" s="183">
        <f>SUBTOTAL(9,BA8:BA12)</f>
        <v>692</v>
      </c>
      <c r="BB13" s="183">
        <f>SUBTOTAL(9,BB8:BB12)</f>
        <v>4142</v>
      </c>
      <c r="BC13" s="183">
        <f>SUBTOTAL(9,BC8:BC12)</f>
        <v>224</v>
      </c>
      <c r="BD13" s="204">
        <f>IF(ISNUMBER(BA13/AZ13),BA13/AZ13," - ")</f>
        <v>0.72233820459290188</v>
      </c>
      <c r="BE13" s="205">
        <f>IF(ISNUMBER(BB13/BA13),BB13/BA13, " - ")</f>
        <v>5.9855491329479769</v>
      </c>
      <c r="BF13" s="205">
        <f>IF(ISNUMBER(BC13/BA13),BC13/BA13, " - ")</f>
        <v>0.32369942196531792</v>
      </c>
      <c r="BG13" s="206">
        <f>IF(ISNUMBER((AY13+AZ13)/BA13),(AY13+AZ13)/BA13," - ")</f>
        <v>6.9855491329479769</v>
      </c>
      <c r="BH13" s="139">
        <f>SUBTOTAL(9,BH8:BH12)</f>
        <v>6</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2230</v>
      </c>
      <c r="J16" s="182">
        <v>577</v>
      </c>
      <c r="K16" s="182">
        <v>431</v>
      </c>
      <c r="L16" s="182">
        <v>2140</v>
      </c>
      <c r="M16" s="182">
        <v>115</v>
      </c>
      <c r="N16" s="182">
        <v>211</v>
      </c>
      <c r="O16" s="180">
        <v>12</v>
      </c>
      <c r="P16" s="182">
        <v>28</v>
      </c>
      <c r="Q16" s="182">
        <v>37</v>
      </c>
      <c r="R16" s="182">
        <v>187</v>
      </c>
      <c r="S16" s="182">
        <v>2098</v>
      </c>
      <c r="T16" s="182">
        <v>760</v>
      </c>
      <c r="U16" s="182">
        <v>796</v>
      </c>
      <c r="V16" s="182">
        <v>2070</v>
      </c>
      <c r="W16" s="182">
        <v>195</v>
      </c>
      <c r="X16" s="188">
        <v>337</v>
      </c>
      <c r="Y16" s="201">
        <v>0</v>
      </c>
      <c r="Z16" s="182">
        <v>0</v>
      </c>
      <c r="AA16" s="182">
        <v>0</v>
      </c>
      <c r="AB16" s="182">
        <v>0</v>
      </c>
      <c r="AC16" s="182">
        <v>8</v>
      </c>
      <c r="AD16" s="182">
        <v>57</v>
      </c>
      <c r="AE16" s="182">
        <v>57</v>
      </c>
      <c r="AF16" s="188">
        <v>0</v>
      </c>
      <c r="AG16" s="201">
        <v>0</v>
      </c>
      <c r="AH16" s="182">
        <v>0</v>
      </c>
      <c r="AI16" s="182">
        <v>0</v>
      </c>
      <c r="AJ16" s="202">
        <v>0</v>
      </c>
      <c r="AK16" s="181">
        <v>10</v>
      </c>
      <c r="AL16" s="182">
        <v>83</v>
      </c>
      <c r="AM16" s="182">
        <v>85</v>
      </c>
      <c r="AN16" s="188">
        <v>8</v>
      </c>
      <c r="AO16" s="258">
        <v>5</v>
      </c>
      <c r="AP16" s="154">
        <v>5</v>
      </c>
      <c r="AQ16" s="154">
        <v>5</v>
      </c>
      <c r="AR16" s="154">
        <v>5</v>
      </c>
      <c r="AS16" s="339" t="s">
        <v>487</v>
      </c>
      <c r="AT16" s="202"/>
      <c r="AU16" s="201"/>
      <c r="AV16" s="202"/>
      <c r="AW16" s="201"/>
      <c r="AX16" s="202"/>
      <c r="AY16" s="126">
        <f t="shared" si="9"/>
        <v>2098</v>
      </c>
      <c r="AZ16" s="127">
        <f t="shared" si="9"/>
        <v>760</v>
      </c>
      <c r="BA16" s="127">
        <f t="shared" si="9"/>
        <v>796</v>
      </c>
      <c r="BB16" s="127">
        <f t="shared" si="9"/>
        <v>2070</v>
      </c>
      <c r="BC16" s="125">
        <f>IF(ISNUMBER(W16),W16," - ")</f>
        <v>195</v>
      </c>
      <c r="BD16" s="126">
        <f t="shared" ref="BD16" si="11">IF(ISNUMBER(BA16/AZ16),BA16/AZ16," - ")</f>
        <v>1.0473684210526315</v>
      </c>
      <c r="BE16" s="127">
        <f t="shared" ref="BE16" si="12">IF(ISNUMBER(BB16/BA16),BB16/BA16, " - ")</f>
        <v>2.6005025125628141</v>
      </c>
      <c r="BF16" s="127">
        <f t="shared" ref="BF16" si="13">IF(ISNUMBER(BC16/BA16),BC16/BA16, " - ")</f>
        <v>0.2449748743718593</v>
      </c>
      <c r="BG16" s="195">
        <f t="shared" si="10"/>
        <v>3.5904522613065328</v>
      </c>
      <c r="BH16" s="154">
        <v>5</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3</v>
      </c>
      <c r="J17" s="182">
        <v>0</v>
      </c>
      <c r="K17" s="182">
        <v>0</v>
      </c>
      <c r="L17" s="182">
        <v>3</v>
      </c>
      <c r="M17" s="182">
        <v>0</v>
      </c>
      <c r="N17" s="182">
        <v>0</v>
      </c>
      <c r="O17" s="182">
        <v>0</v>
      </c>
      <c r="P17" s="182">
        <v>0</v>
      </c>
      <c r="Q17" s="182">
        <v>0</v>
      </c>
      <c r="R17" s="182">
        <v>0</v>
      </c>
      <c r="S17" s="182">
        <v>18</v>
      </c>
      <c r="T17" s="182">
        <v>0</v>
      </c>
      <c r="U17" s="182">
        <v>2</v>
      </c>
      <c r="V17" s="182">
        <v>16</v>
      </c>
      <c r="W17" s="182">
        <v>0</v>
      </c>
      <c r="X17" s="188">
        <v>0</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18</v>
      </c>
      <c r="AZ17" s="129">
        <f t="shared" si="14"/>
        <v>0</v>
      </c>
      <c r="BA17" s="129">
        <f t="shared" si="14"/>
        <v>2</v>
      </c>
      <c r="BB17" s="129">
        <f t="shared" si="14"/>
        <v>16</v>
      </c>
      <c r="BC17" s="125">
        <f>IF(ISNUMBER(W17),W17," - ")</f>
        <v>0</v>
      </c>
      <c r="BD17" s="126" t="str">
        <f>IF(ISNUMBER(BA17/AZ17),BA17/AZ17," - ")</f>
        <v xml:space="preserve"> - </v>
      </c>
      <c r="BE17" s="127">
        <f>IF(ISNUMBER(BB17/BA17),BB17/BA17, " - ")</f>
        <v>8</v>
      </c>
      <c r="BF17" s="127">
        <f>IF(ISNUMBER(BC17/BA17),BC17/BA17, " - ")</f>
        <v>0</v>
      </c>
      <c r="BG17" s="195">
        <f>IF(ISNUMBER((AY17+AZ17)/BA17),(AY17+AZ17)/BA17," - ")</f>
        <v>9</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2233</v>
      </c>
      <c r="J18" s="183">
        <f t="shared" si="15"/>
        <v>577</v>
      </c>
      <c r="K18" s="183">
        <f t="shared" si="15"/>
        <v>431</v>
      </c>
      <c r="L18" s="183">
        <f t="shared" si="15"/>
        <v>2143</v>
      </c>
      <c r="M18" s="183">
        <f t="shared" si="15"/>
        <v>115</v>
      </c>
      <c r="N18" s="183">
        <f t="shared" si="15"/>
        <v>211</v>
      </c>
      <c r="O18" s="183">
        <f t="shared" si="15"/>
        <v>12</v>
      </c>
      <c r="P18" s="183">
        <f t="shared" si="15"/>
        <v>28</v>
      </c>
      <c r="Q18" s="183">
        <f t="shared" si="15"/>
        <v>37</v>
      </c>
      <c r="R18" s="183">
        <f t="shared" si="15"/>
        <v>187</v>
      </c>
      <c r="S18" s="183">
        <f t="shared" si="15"/>
        <v>2116</v>
      </c>
      <c r="T18" s="183">
        <f t="shared" si="15"/>
        <v>760</v>
      </c>
      <c r="U18" s="183">
        <f t="shared" si="15"/>
        <v>798</v>
      </c>
      <c r="V18" s="183">
        <f t="shared" si="15"/>
        <v>2086</v>
      </c>
      <c r="W18" s="183">
        <f t="shared" si="15"/>
        <v>195</v>
      </c>
      <c r="X18" s="183">
        <f t="shared" si="15"/>
        <v>337</v>
      </c>
      <c r="Y18" s="183">
        <f t="shared" si="15"/>
        <v>0</v>
      </c>
      <c r="Z18" s="183">
        <f t="shared" si="15"/>
        <v>0</v>
      </c>
      <c r="AA18" s="183">
        <f t="shared" si="15"/>
        <v>0</v>
      </c>
      <c r="AB18" s="183">
        <f t="shared" si="15"/>
        <v>0</v>
      </c>
      <c r="AC18" s="183">
        <f t="shared" si="15"/>
        <v>8</v>
      </c>
      <c r="AD18" s="183">
        <f t="shared" si="15"/>
        <v>57</v>
      </c>
      <c r="AE18" s="183">
        <f t="shared" si="15"/>
        <v>57</v>
      </c>
      <c r="AF18" s="183">
        <f t="shared" si="15"/>
        <v>0</v>
      </c>
      <c r="AG18" s="183">
        <f t="shared" si="15"/>
        <v>0</v>
      </c>
      <c r="AH18" s="183">
        <f t="shared" si="15"/>
        <v>0</v>
      </c>
      <c r="AI18" s="183">
        <f t="shared" si="15"/>
        <v>0</v>
      </c>
      <c r="AJ18" s="183">
        <f t="shared" si="15"/>
        <v>0</v>
      </c>
      <c r="AK18" s="183">
        <f t="shared" si="15"/>
        <v>10</v>
      </c>
      <c r="AL18" s="183">
        <f t="shared" si="15"/>
        <v>83</v>
      </c>
      <c r="AM18" s="183">
        <f t="shared" si="15"/>
        <v>85</v>
      </c>
      <c r="AN18" s="183">
        <f t="shared" si="15"/>
        <v>8</v>
      </c>
      <c r="AO18" s="183">
        <f t="shared" si="15"/>
        <v>6</v>
      </c>
      <c r="AP18" s="183">
        <f t="shared" si="15"/>
        <v>5</v>
      </c>
      <c r="AQ18" s="183">
        <f t="shared" si="15"/>
        <v>5</v>
      </c>
      <c r="AR18" s="183">
        <f t="shared" si="15"/>
        <v>5</v>
      </c>
      <c r="AS18" s="183">
        <f t="shared" si="15"/>
        <v>0</v>
      </c>
      <c r="AT18" s="183">
        <f t="shared" si="15"/>
        <v>0</v>
      </c>
      <c r="AU18" s="203"/>
      <c r="AV18" s="132"/>
      <c r="AW18" s="203"/>
      <c r="AX18" s="132"/>
      <c r="AY18" s="183">
        <f>SUBTOTAL(9,AY14:AY17)</f>
        <v>2116</v>
      </c>
      <c r="AZ18" s="183">
        <f>SUBTOTAL(9,AZ14:AZ17)</f>
        <v>760</v>
      </c>
      <c r="BA18" s="183">
        <f>SUBTOTAL(9,BA14:BA17)</f>
        <v>798</v>
      </c>
      <c r="BB18" s="183">
        <f>SUBTOTAL(9,BB14:BB17)</f>
        <v>2086</v>
      </c>
      <c r="BC18" s="183">
        <f>SUBTOTAL(9,BC14:BC17)</f>
        <v>195</v>
      </c>
      <c r="BD18" s="204">
        <f>IF(ISNUMBER(BA18/AZ18),BA18/AZ18," - ")</f>
        <v>1.05</v>
      </c>
      <c r="BE18" s="205">
        <f>IF(ISNUMBER(BB18/BA18),BB18/BA18, " - ")</f>
        <v>2.6140350877192984</v>
      </c>
      <c r="BF18" s="205">
        <f>IF(ISNUMBER(BC18/BA18),BC18/BA18, " - ")</f>
        <v>0.24436090225563908</v>
      </c>
      <c r="BG18" s="206">
        <f>IF(ISNUMBER((AY18+AZ18)/BA18),(AY18+AZ18)/BA18," - ")</f>
        <v>3.6040100250626566</v>
      </c>
      <c r="BH18" s="183">
        <f>SUBTOTAL(9,BH14:BH17)</f>
        <v>6</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6412</v>
      </c>
      <c r="J19" s="134">
        <f t="shared" si="18"/>
        <v>1151</v>
      </c>
      <c r="K19" s="134">
        <f t="shared" si="18"/>
        <v>1315</v>
      </c>
      <c r="L19" s="134">
        <f t="shared" si="18"/>
        <v>5148</v>
      </c>
      <c r="M19" s="134">
        <f t="shared" si="18"/>
        <v>334</v>
      </c>
      <c r="N19" s="134">
        <f t="shared" si="18"/>
        <v>537</v>
      </c>
      <c r="O19" s="134">
        <f t="shared" si="18"/>
        <v>426</v>
      </c>
      <c r="P19" s="134">
        <f t="shared" si="18"/>
        <v>278</v>
      </c>
      <c r="Q19" s="134">
        <f t="shared" si="18"/>
        <v>85</v>
      </c>
      <c r="R19" s="134">
        <f t="shared" si="18"/>
        <v>3950</v>
      </c>
      <c r="S19" s="134">
        <f t="shared" si="18"/>
        <v>5956</v>
      </c>
      <c r="T19" s="134">
        <f t="shared" si="18"/>
        <v>1653</v>
      </c>
      <c r="U19" s="134">
        <f t="shared" si="18"/>
        <v>1437</v>
      </c>
      <c r="V19" s="134">
        <f t="shared" si="18"/>
        <v>6180</v>
      </c>
      <c r="W19" s="134">
        <f t="shared" si="18"/>
        <v>363</v>
      </c>
      <c r="X19" s="134">
        <f t="shared" si="18"/>
        <v>561</v>
      </c>
      <c r="Y19" s="134">
        <f t="shared" si="18"/>
        <v>117</v>
      </c>
      <c r="Z19" s="134">
        <f t="shared" si="18"/>
        <v>84</v>
      </c>
      <c r="AA19" s="134">
        <f t="shared" si="18"/>
        <v>83</v>
      </c>
      <c r="AB19" s="134">
        <f t="shared" si="18"/>
        <v>99</v>
      </c>
      <c r="AC19" s="134">
        <f t="shared" si="18"/>
        <v>8</v>
      </c>
      <c r="AD19" s="134">
        <f t="shared" si="18"/>
        <v>57</v>
      </c>
      <c r="AE19" s="134">
        <f t="shared" si="18"/>
        <v>57</v>
      </c>
      <c r="AF19" s="134">
        <f t="shared" si="18"/>
        <v>0</v>
      </c>
      <c r="AG19" s="134">
        <f t="shared" si="18"/>
        <v>36</v>
      </c>
      <c r="AH19" s="134">
        <f t="shared" si="18"/>
        <v>65</v>
      </c>
      <c r="AI19" s="134">
        <f t="shared" si="18"/>
        <v>53</v>
      </c>
      <c r="AJ19" s="134">
        <f t="shared" si="18"/>
        <v>48</v>
      </c>
      <c r="AK19" s="134">
        <f t="shared" si="18"/>
        <v>10</v>
      </c>
      <c r="AL19" s="134">
        <f t="shared" si="18"/>
        <v>83</v>
      </c>
      <c r="AM19" s="134">
        <f t="shared" si="18"/>
        <v>85</v>
      </c>
      <c r="AN19" s="209">
        <f t="shared" si="18"/>
        <v>8</v>
      </c>
      <c r="AO19" s="210">
        <v>6</v>
      </c>
      <c r="AP19" s="210">
        <v>5</v>
      </c>
      <c r="AQ19" s="210">
        <v>5</v>
      </c>
      <c r="AR19" s="210">
        <v>5</v>
      </c>
      <c r="AS19" s="152">
        <f t="shared" si="18"/>
        <v>0</v>
      </c>
      <c r="AT19" s="152">
        <f t="shared" si="18"/>
        <v>0</v>
      </c>
      <c r="AU19" s="210"/>
      <c r="AV19" s="211"/>
      <c r="AW19" s="210"/>
      <c r="AX19" s="211"/>
      <c r="AY19" s="133">
        <f>SUBTOTAL(9,AY9:AY18)</f>
        <v>5992</v>
      </c>
      <c r="AZ19" s="134">
        <f>SUBTOTAL(9,AZ9:AZ18)</f>
        <v>1718</v>
      </c>
      <c r="BA19" s="134">
        <f>SUBTOTAL(9,BA9:BA18)</f>
        <v>1490</v>
      </c>
      <c r="BB19" s="134">
        <f>SUBTOTAL(9,BB9:BB18)</f>
        <v>6228</v>
      </c>
      <c r="BC19" s="135">
        <f>SUBTOTAL(9,BC9:BC18)</f>
        <v>419</v>
      </c>
      <c r="BD19" s="212">
        <f>IF(ISNUMBER(BA19/AZ19),BA19/AZ19," - ")</f>
        <v>0.86728754365541327</v>
      </c>
      <c r="BE19" s="209">
        <f>IF(ISNUMBER(BB19/BA19),BB19/BA19, " - ")</f>
        <v>4.1798657718120804</v>
      </c>
      <c r="BF19" s="209">
        <f>IF(ISNUMBER(BC19/BA19),BC19/BA19, " - ")</f>
        <v>0.28120805369127516</v>
      </c>
      <c r="BG19" s="135">
        <f>IF(ISNUMBER((AY19+AZ19)/BA19),(AY19+AZ19)/BA19," - ")</f>
        <v>5.174496644295302</v>
      </c>
      <c r="BH19" s="210">
        <f>SUBTOTAL(9,BH9:BH18)</f>
        <v>12</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Nts8PiAz169EHp2YSB3TpZQuaroTR5JMnD8IzIioOCNABXV108srlVyT9RBqgwVP8PyTaxgFqAmpJ8JvJN2wbw==" saltValue="gA+MAEpxT32H3FBe1TU6/w=="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CADIZ</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ie3KyitkFfIu/abP2njxHUpRkJovs5NjH8jeWnajt7f7pg1KbNuuhXyanSqCYYDMJklpeh9eTqf+RP6WsQ2vtw==" saltValue="NnUyQHJnF4ii0i1QKIfgow=="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ANDALUCIA</v>
      </c>
    </row>
    <row r="2" spans="1:78" ht="16.5" customHeight="1">
      <c r="C2" s="487" t="str">
        <f>Criterios!A10 &amp;"  "&amp;Criterios!B10 &amp; "  " &amp; IF(NOT(ISBLANK(Criterios!A11)),Criterios!A11 &amp;"  "&amp;Criterios!B11,"")</f>
        <v>Provincias  CADIZ  Resumenes por Partidos Judiciales  LINEA DE LA CONCEPCION, LA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327.27272727272731</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0</v>
      </c>
      <c r="G10" s="332">
        <f>IF(ISNUMBER(Datos!I10),Datos!I10," - ")</f>
        <v>0</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0</v>
      </c>
      <c r="AC10" s="225">
        <f>IF(ISNUMBER(Datos!Q10),Datos!Q10," - ")</f>
        <v>0</v>
      </c>
      <c r="AD10" s="333"/>
      <c r="AE10" s="483"/>
      <c r="AF10" s="331">
        <f>IF(ISNUMBER(Datos!L10),Datos!L10,"-")</f>
        <v>0</v>
      </c>
      <c r="AG10" s="333"/>
      <c r="AH10" s="333"/>
      <c r="AI10" s="333"/>
      <c r="AJ10" s="333"/>
      <c r="AK10" s="333"/>
      <c r="AL10" s="478"/>
      <c r="AM10" s="334">
        <f>IF(ISNUMBER(Datos!R10),Datos!R10," - ")</f>
        <v>0</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0</v>
      </c>
      <c r="BD10" s="228">
        <f>IF(ISNUMBER(Datos!N10),Datos!N10," - ")</f>
        <v>0</v>
      </c>
      <c r="BE10" s="228" t="str">
        <f>IF(ISNUMBER(Datos!BW10),Datos!BW10," - ")</f>
        <v xml:space="preserve"> - </v>
      </c>
      <c r="BF10" s="227" t="str">
        <f>IF(ISNUMBER(Datos!BX10),Datos!BX10," - ")</f>
        <v xml:space="preserve"> - </v>
      </c>
      <c r="BG10" s="242" t="str">
        <f>IF(ISNUMBER(Datos!K10/Datos!J10),Datos!K10/Datos!J10," - ")</f>
        <v xml:space="preserve"> - </v>
      </c>
      <c r="BH10" s="259" t="str">
        <f>IF(ISNUMBER(((Datos!L10/Datos!K10)*11)/factor_trimestre),((Datos!L10/Datos!K10)*11)/factor_trimestre," - ")</f>
        <v xml:space="preserve"> - </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t="str">
        <f>IF(ISNUMBER((Datos!P10-Datos!Q10+Datos!DE10)/(Datos!R10-Datos!P10+Datos!Q10-Datos!DE10)),(Datos!P10-Datos!Q10+Datos!DE10)/(Datos!R10-Datos!P10+Datos!Q10-Datos!DE10)," - ")</f>
        <v xml:space="preserve"> - </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436.36363636363637</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360.81818181818181</v>
      </c>
      <c r="BZ11" s="1185">
        <f>Datos!EZ11</f>
        <v>0</v>
      </c>
    </row>
    <row r="12" spans="1:78" ht="15" thickBot="1">
      <c r="A12" s="500">
        <f>Datos!AO12</f>
        <v>5</v>
      </c>
      <c r="B12" s="506" t="s">
        <v>246</v>
      </c>
      <c r="C12" s="7" t="str">
        <f>Datos!A12</f>
        <v xml:space="preserve">Jdos. 1ª Instª. e Instr./Secc. Civil y de Inst. TI                      </v>
      </c>
      <c r="D12" s="507"/>
      <c r="E12" s="259">
        <f>IF(ISNUMBER(Datos!AQ12),Datos!AQ12," - ")</f>
        <v>5</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84</v>
      </c>
      <c r="O12" s="333"/>
      <c r="P12" s="333"/>
      <c r="Q12" s="225">
        <f>IF(ISNUMBER(Datos!P12),Datos!P12,0)</f>
        <v>250</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48</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99</v>
      </c>
      <c r="AI12" s="333" t="str">
        <f>IF(ISNUMBER(Datos!CD12),Datos!CD12,"-")</f>
        <v>-</v>
      </c>
      <c r="AJ12" s="333" t="str">
        <f>IF(ISNUMBER(Datos!EN12),Datos!EN12," - ")</f>
        <v xml:space="preserve"> - </v>
      </c>
      <c r="AK12" s="333"/>
      <c r="AL12" s="478"/>
      <c r="AM12" s="334">
        <f>IF(ISNUMBER(Datos!R12),Datos!R12," - ")</f>
        <v>3763</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219</v>
      </c>
      <c r="BD12" s="228">
        <f>IF(ISNUMBER(Datos!N12),Datos!N12," - ")</f>
        <v>326</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1.4696048632218845</v>
      </c>
      <c r="BH12" s="259">
        <f>IF(ISNUMBER(((IF(J_V="SI",Datos!L12/Datos!K12,(Datos!L12+Datos!AB12)/(Datos!K12+Datos!AA12)))*11)/factor_trimestre),((IF(J_V="SI",Datos!L12/Datos!K12,(Datos!L12+Datos!AB12)/(Datos!K12+Datos!AA12)))*11)/factor_trimestre," - ")</f>
        <v>9.6297828335056881</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5.6725638865487225E-2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185.45454545454547</v>
      </c>
      <c r="BZ12" s="1185">
        <f>Datos!EZ12</f>
        <v>0</v>
      </c>
    </row>
    <row r="13" spans="1:78" ht="15.75" thickTop="1" thickBot="1">
      <c r="A13" s="177"/>
      <c r="B13" s="177"/>
      <c r="C13" s="862" t="str">
        <f>Datos!A13</f>
        <v>TOTAL</v>
      </c>
      <c r="D13" s="896"/>
      <c r="E13" s="1163">
        <f t="shared" ref="E13:Z13" si="0">SUBTOTAL(9,E8:E12)</f>
        <v>5</v>
      </c>
      <c r="F13" s="897">
        <f t="shared" si="0"/>
        <v>0</v>
      </c>
      <c r="G13" s="897">
        <f t="shared" si="0"/>
        <v>0</v>
      </c>
      <c r="H13" s="898">
        <f t="shared" si="0"/>
        <v>0</v>
      </c>
      <c r="I13" s="897">
        <f t="shared" si="0"/>
        <v>0</v>
      </c>
      <c r="J13" s="866">
        <f t="shared" si="0"/>
        <v>0</v>
      </c>
      <c r="K13" s="866">
        <f t="shared" si="0"/>
        <v>0</v>
      </c>
      <c r="L13" s="898">
        <f t="shared" si="0"/>
        <v>0</v>
      </c>
      <c r="M13" s="898">
        <f t="shared" si="0"/>
        <v>0</v>
      </c>
      <c r="N13" s="898">
        <f t="shared" si="0"/>
        <v>84</v>
      </c>
      <c r="O13" s="899">
        <f t="shared" si="0"/>
        <v>0</v>
      </c>
      <c r="P13" s="899">
        <f t="shared" si="0"/>
        <v>0</v>
      </c>
      <c r="Q13" s="898">
        <f t="shared" si="0"/>
        <v>250</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0</v>
      </c>
      <c r="AC13" s="898">
        <f t="shared" si="1"/>
        <v>48</v>
      </c>
      <c r="AD13" s="898">
        <f t="shared" si="1"/>
        <v>0</v>
      </c>
      <c r="AE13" s="898">
        <f t="shared" si="1"/>
        <v>0</v>
      </c>
      <c r="AF13" s="898">
        <f t="shared" si="1"/>
        <v>0</v>
      </c>
      <c r="AG13" s="898">
        <f t="shared" si="1"/>
        <v>0</v>
      </c>
      <c r="AH13" s="898">
        <f t="shared" si="1"/>
        <v>99</v>
      </c>
      <c r="AI13" s="898">
        <f t="shared" si="1"/>
        <v>0</v>
      </c>
      <c r="AJ13" s="898">
        <f t="shared" si="1"/>
        <v>0</v>
      </c>
      <c r="AK13" s="898">
        <f t="shared" si="1"/>
        <v>0</v>
      </c>
      <c r="AL13" s="898">
        <f t="shared" si="1"/>
        <v>0</v>
      </c>
      <c r="AM13" s="898">
        <f t="shared" si="1"/>
        <v>3763</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219</v>
      </c>
      <c r="BD13" s="898">
        <f t="shared" si="1"/>
        <v>326</v>
      </c>
      <c r="BE13" s="898">
        <f t="shared" si="1"/>
        <v>0</v>
      </c>
      <c r="BF13" s="898">
        <f t="shared" si="1"/>
        <v>0</v>
      </c>
      <c r="BG13" s="898">
        <f>IF(ISNUMBER(Datos!K13/Datos!J13),Datos!K13/Datos!J13," - ")</f>
        <v>1.5400696864111498</v>
      </c>
      <c r="BH13" s="902">
        <f>IF(ISNUMBER(((Datos!L13/Datos!K13)*11)/factor_trimestre),((Datos!L13/Datos!K13)*11)/factor_trimestre," - ")</f>
        <v>10.197963800904978</v>
      </c>
      <c r="BI13" s="898">
        <f>IF(ISNUMBER('Resol  Asuntos'!D13/NºAsuntos!G13),'Resol  Asuntos'!D13/NºAsuntos!G13," - ")</f>
        <v>0.2264736297828335</v>
      </c>
      <c r="BJ13" s="898" t="str">
        <f>IF(ISNUMBER(Datos!CI13/Datos!CJ13),Datos!CI13/Datos!CJ13," - ")</f>
        <v xml:space="preserve"> - </v>
      </c>
      <c r="BK13" s="898">
        <f>SUBTOTAL(9,BK8:BK12)</f>
        <v>0</v>
      </c>
      <c r="BL13" s="898" t="str">
        <f>IF(ISNUMBER((I13-AB13+L13)/(F13)),(I13-AB13+L13)/(F13)," - ")</f>
        <v xml:space="preserve"> - </v>
      </c>
      <c r="BM13" s="903">
        <f>SUBTOTAL(9,BM9:BM12)</f>
        <v>5.6725638865487225E-2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1309.909090909091</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900</v>
      </c>
      <c r="BZ15" s="1185">
        <f>Datos!EZ15</f>
        <v>0</v>
      </c>
    </row>
    <row r="16" spans="1:78" s="598" customFormat="1" ht="14.25">
      <c r="A16" s="592">
        <f>Datos!AO16</f>
        <v>5</v>
      </c>
      <c r="B16" s="593" t="s">
        <v>396</v>
      </c>
      <c r="C16" s="599" t="str">
        <f>Datos!A16</f>
        <v xml:space="preserve">Jdos. 1ª Instª. e Instr./Secc. Civil y de Inst. TI                      </v>
      </c>
      <c r="D16" s="600"/>
      <c r="E16" s="1164">
        <f>IF(ISNUMBER(Datos!AQ16),Datos!AQ16," - ")</f>
        <v>5</v>
      </c>
      <c r="F16" s="594">
        <f>IF(ISNUMBER(AF16+AB16-Datos!J16-L16),AF16+AB16-Datos!J16-L16," - ")</f>
        <v>1994</v>
      </c>
      <c r="G16" s="597">
        <f>IF(ISNUMBER(IF(D_I="SI",Datos!I16,Datos!I16+Datos!AC16)),IF(D_I="SI",Datos!I16,Datos!I16+Datos!AC16)," - ")</f>
        <v>2230</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28</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431</v>
      </c>
      <c r="AC16" s="225">
        <f>IF(ISNUMBER(Datos!Q16),Datos!Q16," - ")</f>
        <v>37</v>
      </c>
      <c r="AD16" s="333"/>
      <c r="AE16" s="483"/>
      <c r="AF16" s="595">
        <f>IF(ISNUMBER(IF(D_I="SI",Datos!L16,Datos!L16+Datos!AF16)),IF(D_I="SI",Datos!L16,Datos!L16+Datos!AF16)," - ")</f>
        <v>2140</v>
      </c>
      <c r="AG16" s="333"/>
      <c r="AH16" s="333"/>
      <c r="AI16" s="333"/>
      <c r="AJ16" s="333"/>
      <c r="AK16" s="333"/>
      <c r="AL16" s="478"/>
      <c r="AM16" s="334">
        <f>IF(ISNUMBER(Datos!R16),Datos!R16," - ")</f>
        <v>187</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115</v>
      </c>
      <c r="BD16" s="228">
        <f>IF(ISNUMBER(Datos!N16),Datos!N16," - ")</f>
        <v>211</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0.7469670710571924</v>
      </c>
      <c r="BH16" s="259">
        <f>IF(ISNUMBER(((IF(D_I="SI",Datos!L16/Datos!K16,(Datos!L16+Datos!AF16)/(Datos!K16+Datos!AE16)))*11)/factor_trimestre),((IF(D_I="SI",Datos!L16/Datos!K16,(Datos!L16+Datos!AF16)/(Datos!K16+Datos!AE16)))*11)/factor_trimestre," - ")</f>
        <v>14.895591647331788</v>
      </c>
      <c r="BI16" s="242">
        <f>IF(ISNUMBER('Resol  Asuntos'!D16/NºAsuntos!G16),'Resol  Asuntos'!D16/NºAsuntos!G16," - ")</f>
        <v>0.26682134570765659</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272.72727272727275</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3</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0</v>
      </c>
      <c r="AC17" s="225">
        <f>IF(ISNUMBER(Datos!Q17),Datos!Q17," - ")</f>
        <v>0</v>
      </c>
      <c r="AD17" s="333"/>
      <c r="AE17" s="483"/>
      <c r="AF17" s="331">
        <f>IF(ISNUMBER(Datos!L17),Datos!L17,"-")</f>
        <v>3</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0</v>
      </c>
      <c r="BD17" s="228">
        <f>IF(ISNUMBER(Datos!N17),Datos!N17," - ")</f>
        <v>0</v>
      </c>
      <c r="BE17" s="228" t="str">
        <f>IF(ISNUMBER(Datos!BW17),Datos!BW17," - ")</f>
        <v xml:space="preserve"> - </v>
      </c>
      <c r="BF17" s="227" t="str">
        <f>IF(ISNUMBER(Datos!BX17),Datos!BX17," - ")</f>
        <v xml:space="preserve"> - </v>
      </c>
      <c r="BG17" s="242" t="str">
        <f>IF(ISNUMBER(IF(D_I="SI",Datos!K17/Datos!J17,(Datos!K17+Datos!AE17)/(Datos!J17+Datos!AD17))),IF(D_I="SI",Datos!K17/Datos!J17,(Datos!K17+Datos!AE17)/(Datos!J17+Datos!AD17))," - ")</f>
        <v xml:space="preserve"> - </v>
      </c>
      <c r="BH17" s="259" t="str">
        <f>IF(ISNUMBER(((IF(D_I="SI",Datos!L17/Datos!K17,(Datos!L17+Datos!AF17)/(Datos!K17+Datos!AE17)))*11)/factor_trimestre),((IF(D_I="SI",Datos!L17/Datos!K17,(Datos!L17+Datos!AF17)/(Datos!K17+Datos!AE17)))*11)/factor_trimestre," - ")</f>
        <v xml:space="preserve"> - </v>
      </c>
      <c r="BI17" s="242" t="str">
        <f>IF(ISNUMBER('Resol  Asuntos'!D17/NºAsuntos!G17),'Resol  Asuntos'!D17/NºAsuntos!G17," - ")</f>
        <v xml:space="preserve"> - </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436.36363636363637</v>
      </c>
      <c r="BZ17" s="1185">
        <f>Datos!EZ17</f>
        <v>0</v>
      </c>
    </row>
    <row r="18" spans="1:78" ht="15.75" thickTop="1" thickBot="1">
      <c r="A18" s="177"/>
      <c r="B18" s="177"/>
      <c r="C18" s="862" t="str">
        <f>Datos!A18</f>
        <v>TOTAL</v>
      </c>
      <c r="D18" s="896"/>
      <c r="E18" s="1163">
        <f>SUBTOTAL(9,E15:E17)</f>
        <v>5</v>
      </c>
      <c r="F18" s="897">
        <f>SUBTOTAL(9,F15:F17)</f>
        <v>1994</v>
      </c>
      <c r="G18" s="897">
        <f>SUBTOTAL(9,G15:G17)</f>
        <v>2233</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28</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431</v>
      </c>
      <c r="AC18" s="898">
        <f t="shared" si="4"/>
        <v>37</v>
      </c>
      <c r="AD18" s="898">
        <f t="shared" si="4"/>
        <v>0</v>
      </c>
      <c r="AE18" s="898">
        <f t="shared" si="4"/>
        <v>0</v>
      </c>
      <c r="AF18" s="898">
        <f t="shared" si="4"/>
        <v>2143</v>
      </c>
      <c r="AG18" s="898">
        <f t="shared" si="4"/>
        <v>0</v>
      </c>
      <c r="AH18" s="898">
        <f t="shared" si="4"/>
        <v>0</v>
      </c>
      <c r="AI18" s="898">
        <f t="shared" si="4"/>
        <v>0</v>
      </c>
      <c r="AJ18" s="898">
        <f t="shared" si="4"/>
        <v>0</v>
      </c>
      <c r="AK18" s="898">
        <f t="shared" si="4"/>
        <v>0</v>
      </c>
      <c r="AL18" s="898">
        <f t="shared" si="4"/>
        <v>0</v>
      </c>
      <c r="AM18" s="898">
        <f t="shared" si="4"/>
        <v>187</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115</v>
      </c>
      <c r="BD18" s="898">
        <f t="shared" si="4"/>
        <v>211</v>
      </c>
      <c r="BE18" s="898">
        <f t="shared" si="4"/>
        <v>0</v>
      </c>
      <c r="BF18" s="898">
        <f t="shared" si="4"/>
        <v>0</v>
      </c>
      <c r="BG18" s="898">
        <f>IF(ISNUMBER(Datos!K18/Datos!J18),Datos!K18/Datos!J18," - ")</f>
        <v>0.7469670710571924</v>
      </c>
      <c r="BH18" s="902">
        <f>IF(ISNUMBER(((Datos!L18/Datos!K18)*11)/factor_trimestre),((Datos!L18/Datos!K18)*11)/factor_trimestre," - ")</f>
        <v>14.916473317865428</v>
      </c>
      <c r="BI18" s="898">
        <f>SUBTOTAL(9,BI15:BI17)</f>
        <v>0.26682134570765659</v>
      </c>
      <c r="BJ18" s="898">
        <f>SUBTOTAL(9,BJ15:BJ17)</f>
        <v>0</v>
      </c>
      <c r="BK18" s="898">
        <f>SUBTOTAL(9,BK15:BK17)</f>
        <v>0</v>
      </c>
      <c r="BL18" s="898">
        <f>IF(ISNUMBER((I18-AB18+L18)/(F18)),(I18-AB18+L18)/(F18)," - ")</f>
        <v>-0.21614844533600802</v>
      </c>
      <c r="BM18" s="904">
        <f>IF(ISNUMBER((Datos!P18-Datos!Q18)/(Datos!R18-Datos!P18+Datos!Q18)),(Datos!P18-Datos!Q18)/(Datos!R18-Datos!P18+Datos!Q18)," - ")</f>
        <v>-4.5918367346938778E-2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1609.090909090909</v>
      </c>
      <c r="BZ18" s="1185"/>
    </row>
    <row r="19" spans="1:78" ht="18.75" customHeight="1" thickTop="1" thickBot="1">
      <c r="A19" s="171"/>
      <c r="B19" s="171"/>
      <c r="C19" s="817" t="str">
        <f>Datos!A19</f>
        <v>TOTAL JURISDICCIONES</v>
      </c>
      <c r="D19" s="817"/>
      <c r="E19" s="1165">
        <f t="shared" ref="E19:R19" si="6">SUBTOTAL(9,E9:E18)</f>
        <v>10</v>
      </c>
      <c r="F19" s="819">
        <f t="shared" si="6"/>
        <v>1994</v>
      </c>
      <c r="G19" s="819">
        <f t="shared" si="6"/>
        <v>2233</v>
      </c>
      <c r="H19" s="821">
        <f t="shared" si="6"/>
        <v>0</v>
      </c>
      <c r="I19" s="819">
        <f t="shared" si="6"/>
        <v>0</v>
      </c>
      <c r="J19" s="821">
        <f t="shared" si="6"/>
        <v>0</v>
      </c>
      <c r="K19" s="821">
        <f t="shared" si="6"/>
        <v>0</v>
      </c>
      <c r="L19" s="880">
        <f t="shared" si="6"/>
        <v>0</v>
      </c>
      <c r="M19" s="880">
        <f t="shared" si="6"/>
        <v>0</v>
      </c>
      <c r="N19" s="880">
        <f t="shared" si="6"/>
        <v>84</v>
      </c>
      <c r="O19" s="880">
        <f t="shared" si="6"/>
        <v>0</v>
      </c>
      <c r="P19" s="880">
        <f t="shared" si="6"/>
        <v>0</v>
      </c>
      <c r="Q19" s="821">
        <f t="shared" si="6"/>
        <v>278</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431</v>
      </c>
      <c r="AC19" s="820">
        <f t="shared" si="7"/>
        <v>85</v>
      </c>
      <c r="AD19" s="820">
        <f t="shared" si="7"/>
        <v>0</v>
      </c>
      <c r="AE19" s="820">
        <f t="shared" si="7"/>
        <v>0</v>
      </c>
      <c r="AF19" s="827">
        <f t="shared" si="7"/>
        <v>2143</v>
      </c>
      <c r="AG19" s="827">
        <f t="shared" si="7"/>
        <v>0</v>
      </c>
      <c r="AH19" s="827">
        <f t="shared" si="7"/>
        <v>99</v>
      </c>
      <c r="AI19" s="827">
        <f t="shared" si="7"/>
        <v>0</v>
      </c>
      <c r="AJ19" s="820">
        <f t="shared" si="7"/>
        <v>0</v>
      </c>
      <c r="AK19" s="827">
        <f t="shared" si="7"/>
        <v>0</v>
      </c>
      <c r="AL19" s="827">
        <f t="shared" si="7"/>
        <v>0</v>
      </c>
      <c r="AM19" s="827">
        <f t="shared" si="7"/>
        <v>3950</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334</v>
      </c>
      <c r="BD19" s="819">
        <f t="shared" si="7"/>
        <v>537</v>
      </c>
      <c r="BE19" s="819">
        <f t="shared" si="7"/>
        <v>0</v>
      </c>
      <c r="BF19" s="829">
        <f t="shared" si="7"/>
        <v>0</v>
      </c>
      <c r="BG19" s="914">
        <f>IF(ISNUMBER(Datos!K19/Datos!J19),Datos!K19/Datos!J19," - ")</f>
        <v>1.1424847958297133</v>
      </c>
      <c r="BH19" s="914">
        <f>IF(ISNUMBER(((Datos!L19/Datos!K19)*11)/factor_trimestre),((Datos!L19/Datos!K19)*11)/factor_trimestre," - ")</f>
        <v>11.74448669201521</v>
      </c>
      <c r="BI19" s="812">
        <f>IF(ISNUMBER(Datos!J19/Datos!I19),Datos!J19/Datos!I19," - ")</f>
        <v>0.17950717404865876</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-0.21614844533600802</v>
      </c>
      <c r="BM19" s="888">
        <f>IF(ISNUMBER((Datos!P19-Datos!Q19+R19)/(Datos!R19-Datos!P19+Datos!Q19-R19)),(Datos!P19-Datos!Q19+R19)/(Datos!R19-Datos!P19+Datos!Q19-R19)," - ")</f>
        <v>5.1370774554165555E-2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2919.0000000000005</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893.2</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2.6352313834736494</v>
      </c>
      <c r="F21" s="550">
        <f>IF(ISNUMBER(STDEV(F8:F18)),STDEV(F8:F18),"-")</f>
        <v>1151.2364367641137</v>
      </c>
      <c r="G21" s="551">
        <f>IF(ISNUMBER(STDEV(G8:G18)),STDEV(G8:G18),"-")</f>
        <v>1221.696238841718</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236.06842228472661</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97.980950529511944</v>
      </c>
      <c r="BD21" s="550"/>
      <c r="BE21" s="550">
        <f>IF(ISNUMBER(STDEV(BE8:BE18)),STDEV(BE8:BE18),"-")</f>
        <v>0</v>
      </c>
      <c r="BF21" s="555">
        <f>IF(ISNUMBER(STDEV(BF8:BF18)),STDEV(BF8:BF18),"-")</f>
        <v>0</v>
      </c>
      <c r="BG21" s="774">
        <f>IF(ISNUMBER(STDEV(BG8:BG18)),STDEV(BG8:BG18),"-")</f>
        <v>0.43850119399295745</v>
      </c>
      <c r="BH21" s="775">
        <f>IF(ISNUMBER(STDEV(BH8:BH18)),STDEV(BH8:BH18),"-")</f>
        <v>2.8915558649603379</v>
      </c>
      <c r="BI21" s="248">
        <f>IF(ISNUMBER(STDEV(BI8:BI18)),STDEV(BI8:BI18),"-")</f>
        <v>2.3294764650383156E-2</v>
      </c>
      <c r="BJ21" s="229" t="str">
        <f>IF(ISNUMBER(BL21/BM21),BL21/BM21," - ")</f>
        <v xml:space="preserve"> - </v>
      </c>
      <c r="BK21" s="574"/>
      <c r="BL21" s="558" t="str">
        <f>IF(ISNUMBER(STDEV(BL8:BL18)),STDEV(BL8:BL18),"-")</f>
        <v>-</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506.83041770798405</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17 mar. 2026</v>
      </c>
    </row>
    <row r="32" spans="1:78">
      <c r="C32" s="526"/>
      <c r="D32" s="526"/>
    </row>
  </sheetData>
  <sheetProtection algorithmName="SHA-512" hashValue="wu+zsrd1vSjO451bR6gtPNuga5AxvB2fL3UwpYbrtWYwVf/v4H9msgHddFAoMZpFyySwzSq2vfjbswDexcAJIw==" saltValue="cnM7APZEjt+WapnYNT/gv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ANDALUCIA</v>
      </c>
    </row>
    <row r="2" spans="1:78" ht="16.5" customHeight="1">
      <c r="C2" s="527" t="str">
        <f>Criterios!A10 &amp;"  "&amp;Criterios!B10 &amp; "  " &amp; IF(NOT(ISBLANK(Criterios!A11)),Criterios!A11 &amp;"  "&amp;Criterios!B11,"")</f>
        <v>Provincias  CADIZ  Resumenes por Partidos Judiciales  LINEA DE LA CONCEPCION, LA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4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327.27272727272731</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0</v>
      </c>
      <c r="G10" s="224">
        <f>IF(ISNUMBER(Datos!I10),Datos!I10," - ")</f>
        <v>0</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0</v>
      </c>
      <c r="Z10" s="618">
        <f>IF(ISNUMBER(Datos!Q10),Datos!Q10," - ")</f>
        <v>0</v>
      </c>
      <c r="AA10" s="331">
        <f>IF(ISNUMBER(Datos!L10),Datos!L10,"-")</f>
        <v>0</v>
      </c>
      <c r="AB10" s="333"/>
      <c r="AC10" s="333"/>
      <c r="AD10" s="483"/>
      <c r="AE10" s="483">
        <f>IF(ISNUMBER(Datos!R10),Datos!R10," - ")</f>
        <v>0</v>
      </c>
      <c r="AF10" s="228" t="str">
        <f>IF(ISNUMBER(Datos!BV10),Datos!BV10," - ")</f>
        <v xml:space="preserve"> - </v>
      </c>
      <c r="AG10" s="224" t="str">
        <f>IF(ISNUMBER(Datos!DV10),Datos!DV10," - ")</f>
        <v xml:space="preserve"> - </v>
      </c>
      <c r="AH10" s="297"/>
      <c r="AI10" s="226"/>
      <c r="AJ10" s="224">
        <f>IF(ISNUMBER(Datos!M10),Datos!M10," - ")</f>
        <v>0</v>
      </c>
      <c r="AK10" s="228">
        <f>IF(ISNUMBER(Datos!N10),Datos!N10," - ")</f>
        <v>0</v>
      </c>
      <c r="AL10" s="228" t="str">
        <f>IF(ISNUMBER(Datos!BW10),Datos!BW10," - ")</f>
        <v xml:space="preserve"> - </v>
      </c>
      <c r="AM10" s="227" t="str">
        <f>IF(ISNUMBER(Datos!BX10),Datos!BX10," - ")</f>
        <v xml:space="preserve"> - </v>
      </c>
      <c r="AN10" s="242"/>
      <c r="AO10" s="259" t="str">
        <f>IF(ISNUMBER(((NºAsuntos!I10/NºAsuntos!G10)*11)/factor_trimestre),((NºAsuntos!I10/NºAsuntos!G10)*11)/factor_trimestre," - ")</f>
        <v xml:space="preserve"> - </v>
      </c>
      <c r="AP10" s="229" t="str">
        <f>IF(ISNUMBER(Datos!CI10/Datos!CJ10),Datos!CI10/Datos!CJ10," - ")</f>
        <v xml:space="preserve"> - </v>
      </c>
      <c r="AQ10" s="229" t="str">
        <f>IF(ISNUMBER((I10-Y10+K10)/(F10)),(I10-Y10+K10)/(F10)," - ")</f>
        <v xml:space="preserve"> - </v>
      </c>
      <c r="AR10" s="229" t="str">
        <f>IF(ISNUMBER((Datos!P10-Datos!Q10+Datos!DE10)/(Datos!R10-Datos!P10+Datos!Q10-Datos!DE10)),(Datos!P10-Datos!Q10+Datos!DE10)/(Datos!R10-Datos!P10+Datos!Q10-Datos!DE10)," - ")</f>
        <v xml:space="preserve"> - </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436.36363636363637</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360.81818181818181</v>
      </c>
      <c r="BZ11" s="1185">
        <f>Datos!EZ11</f>
        <v>0</v>
      </c>
    </row>
    <row r="12" spans="1:78" ht="15" thickBot="1">
      <c r="A12" s="500">
        <f>Datos!AO12</f>
        <v>5</v>
      </c>
      <c r="B12" s="506" t="s">
        <v>246</v>
      </c>
      <c r="C12" s="7" t="str">
        <f>Datos!A12</f>
        <v xml:space="preserve">Jdos. 1ª Instª. e Instr./Secc. Civil y de Inst. TI                      </v>
      </c>
      <c r="D12" s="507"/>
      <c r="E12" s="1167">
        <f>IF(ISNUMBER(Datos!AQ12),Datos!AQ12," - ")</f>
        <v>5</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250</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48</v>
      </c>
      <c r="AA12" s="331" t="str">
        <f>IF(ISNUMBER(IF(J_V="SI",Datos!L12,Datos!L12+Datos!AB12)-IF(Monitorios="SI",Datos!CD12,0)),
                          IF(J_V="SI",Datos!L12,Datos!L12+Datos!AB12)-IF(Monitorios="SI",Datos!CD12,0),
                          " - ")</f>
        <v xml:space="preserve"> - </v>
      </c>
      <c r="AB12" s="333"/>
      <c r="AC12" s="333"/>
      <c r="AD12" s="483"/>
      <c r="AE12" s="483">
        <f>IF(ISNUMBER(Datos!R12),Datos!R12," - ")</f>
        <v>3763</v>
      </c>
      <c r="AF12" s="228" t="str">
        <f>IF(ISNUMBER(Datos!BV12),Datos!BV12," - ")</f>
        <v xml:space="preserve"> - </v>
      </c>
      <c r="AG12" s="224" t="str">
        <f>IF(ISNUMBER(Datos!DV12),Datos!DV12," - ")</f>
        <v xml:space="preserve"> - </v>
      </c>
      <c r="AH12" s="297"/>
      <c r="AI12" s="226"/>
      <c r="AJ12" s="224">
        <f>IF(ISNUMBER(Datos!M12),Datos!M12," - ")</f>
        <v>219</v>
      </c>
      <c r="AK12" s="228">
        <f>IF(ISNUMBER(Datos!N12),Datos!N12," - ")</f>
        <v>326</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9.6297828335056881</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5.6725638865487225E-2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185.45454545454547</v>
      </c>
      <c r="BZ12" s="1185">
        <f>Datos!EZ12</f>
        <v>0</v>
      </c>
    </row>
    <row r="13" spans="1:78" ht="15.75" thickTop="1" thickBot="1">
      <c r="A13" s="177"/>
      <c r="B13" s="177"/>
      <c r="C13" s="862" t="str">
        <f>Datos!A13</f>
        <v>TOTAL</v>
      </c>
      <c r="D13" s="862"/>
      <c r="E13" s="897">
        <f>SUBTOTAL(9,E8:E12)</f>
        <v>5</v>
      </c>
      <c r="F13" s="897">
        <f>SUBTOTAL(9,F8:F12)</f>
        <v>0</v>
      </c>
      <c r="G13" s="897">
        <f>SUBTOTAL(9,G8:G12)</f>
        <v>0</v>
      </c>
      <c r="H13" s="907"/>
      <c r="I13" s="897">
        <f t="shared" ref="I13:N13" si="0">SUBTOTAL(9,I8:I12)</f>
        <v>0</v>
      </c>
      <c r="J13" s="866">
        <f t="shared" si="0"/>
        <v>0</v>
      </c>
      <c r="K13" s="907">
        <f t="shared" si="0"/>
        <v>0</v>
      </c>
      <c r="L13" s="907">
        <f t="shared" si="0"/>
        <v>0</v>
      </c>
      <c r="M13" s="907">
        <f t="shared" si="0"/>
        <v>0</v>
      </c>
      <c r="N13" s="907">
        <f t="shared" si="0"/>
        <v>250</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0</v>
      </c>
      <c r="Z13" s="906">
        <f t="shared" si="2"/>
        <v>48</v>
      </c>
      <c r="AA13" s="899">
        <f t="shared" si="2"/>
        <v>0</v>
      </c>
      <c r="AB13" s="899">
        <f t="shared" si="2"/>
        <v>0</v>
      </c>
      <c r="AC13" s="899">
        <f t="shared" si="2"/>
        <v>0</v>
      </c>
      <c r="AD13" s="899">
        <f t="shared" si="2"/>
        <v>0</v>
      </c>
      <c r="AE13" s="899">
        <f t="shared" si="2"/>
        <v>3763</v>
      </c>
      <c r="AF13" s="907">
        <f t="shared" si="2"/>
        <v>0</v>
      </c>
      <c r="AG13" s="907">
        <f t="shared" si="2"/>
        <v>0</v>
      </c>
      <c r="AH13" s="907">
        <f t="shared" si="2"/>
        <v>0</v>
      </c>
      <c r="AI13" s="907">
        <f t="shared" si="2"/>
        <v>0</v>
      </c>
      <c r="AJ13" s="907">
        <f t="shared" si="2"/>
        <v>219</v>
      </c>
      <c r="AK13" s="907">
        <f t="shared" si="2"/>
        <v>326</v>
      </c>
      <c r="AL13" s="907">
        <f t="shared" si="2"/>
        <v>0</v>
      </c>
      <c r="AM13" s="907">
        <f t="shared" si="2"/>
        <v>0</v>
      </c>
      <c r="AN13" s="907">
        <f t="shared" si="2"/>
        <v>0</v>
      </c>
      <c r="AO13" s="903">
        <f>IF(ISNUMBER(((NºAsuntos!I13/NºAsuntos!G13)*11)/factor_trimestre),((NºAsuntos!I13/NºAsuntos!G13)*11)/factor_trimestre," - ")</f>
        <v>9.6297828335056881</v>
      </c>
      <c r="AP13" s="909" t="str">
        <f>IF(ISNUMBER(Datos!CI13/Datos!CJ13),Datos!CI13/Datos!CJ13," - ")</f>
        <v xml:space="preserve"> - </v>
      </c>
      <c r="AQ13" s="927">
        <f t="shared" ref="AQ13:AV13" si="3">SUBTOTAL(9,AQ9:AQ12)</f>
        <v>0</v>
      </c>
      <c r="AR13" s="927">
        <f t="shared" si="3"/>
        <v>5.6725638865487225E-2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900</v>
      </c>
      <c r="BZ15" s="1185">
        <f>Datos!EZ15</f>
        <v>0</v>
      </c>
    </row>
    <row r="16" spans="1:78" ht="14.25">
      <c r="A16" s="500">
        <f>Datos!AO16</f>
        <v>5</v>
      </c>
      <c r="B16" s="506" t="s">
        <v>396</v>
      </c>
      <c r="C16" s="159" t="str">
        <f>Datos!A16</f>
        <v xml:space="preserve">Jdos. 1ª Instª. e Instr./Secc. Civil y de Inst. TI                      </v>
      </c>
      <c r="D16" s="501"/>
      <c r="E16" s="1167">
        <f>IF(ISNUMBER(Datos!AQ16),Datos!AQ16," - ")</f>
        <v>5</v>
      </c>
      <c r="F16" s="332">
        <f>IF(ISNUMBER(AA16+Y16-Datos!J16-K15),AA16+Y16-Datos!J16-K15," - ")</f>
        <v>1994</v>
      </c>
      <c r="G16" s="224">
        <f>IF(ISNUMBER(IF(D_I="SI",Datos!I16,Datos!I16+Datos!AC16)),IF(D_I="SI",Datos!I16,Datos!I16+Datos!AC16)," - ")</f>
        <v>2230</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28</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431</v>
      </c>
      <c r="Z16" s="618">
        <f>IF(ISNUMBER(Datos!Q16),Datos!Q16," - ")</f>
        <v>37</v>
      </c>
      <c r="AA16" s="331">
        <f>IF(ISNUMBER(IF(D_I="SI",Datos!L16,Datos!L16+Datos!AF16)),IF(D_I="SI",Datos!L16,Datos!L16+Datos!AF16)," - ")</f>
        <v>2140</v>
      </c>
      <c r="AB16" s="333"/>
      <c r="AC16" s="333"/>
      <c r="AD16" s="483"/>
      <c r="AE16" s="483">
        <f>IF(ISNUMBER(Datos!R16),Datos!R16," - ")</f>
        <v>187</v>
      </c>
      <c r="AF16" s="228" t="str">
        <f>IF(ISNUMBER(Datos!BV16),Datos!BV16," - ")</f>
        <v xml:space="preserve"> - </v>
      </c>
      <c r="AG16" s="224"/>
      <c r="AH16" s="297"/>
      <c r="AI16" s="226"/>
      <c r="AJ16" s="224">
        <f>IF(ISNUMBER(Datos!M16),Datos!M16," - ")</f>
        <v>115</v>
      </c>
      <c r="AK16" s="228">
        <f>IF(ISNUMBER(Datos!N16),Datos!N16," - ")</f>
        <v>211</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14.895591647331788</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272.72727272727275</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3</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0</v>
      </c>
      <c r="Z17" s="618">
        <f>IF(ISNUMBER(Datos!Q17),Datos!Q17," - ")</f>
        <v>0</v>
      </c>
      <c r="AA17" s="331">
        <f>IF(ISNUMBER(Datos!L17),Datos!L17,"-")</f>
        <v>3</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0</v>
      </c>
      <c r="AK17" s="228">
        <f>IF(ISNUMBER(Datos!N17),Datos!N17," - ")</f>
        <v>0</v>
      </c>
      <c r="AL17" s="228" t="str">
        <f>IF(ISNUMBER(Datos!BW17),Datos!BW17," - ")</f>
        <v xml:space="preserve"> - </v>
      </c>
      <c r="AM17" s="227" t="str">
        <f>IF(ISNUMBER(Datos!BX17),Datos!BX17," - ")</f>
        <v xml:space="preserve"> - </v>
      </c>
      <c r="AN17" s="242"/>
      <c r="AO17" s="259" t="str">
        <f>IF(ISNUMBER(((NºAsuntos!I17/NºAsuntos!G17)*11)/factor_trimestre),((NºAsuntos!I17/NºAsuntos!G17)*11)/factor_trimestre," - ")</f>
        <v xml:space="preserve"> - </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436.36363636363637</v>
      </c>
      <c r="BZ17" s="1185">
        <f>Datos!EZ17</f>
        <v>0</v>
      </c>
    </row>
    <row r="18" spans="1:78" ht="15.75" thickTop="1" thickBot="1">
      <c r="A18" s="177"/>
      <c r="B18" s="177"/>
      <c r="C18" s="862" t="str">
        <f>Datos!A18</f>
        <v>TOTAL</v>
      </c>
      <c r="D18" s="862"/>
      <c r="E18" s="1168">
        <f>SUBTOTAL(9,E15:E17)</f>
        <v>5</v>
      </c>
      <c r="F18" s="897">
        <f>SUBTOTAL(9,F15:F17)</f>
        <v>1994</v>
      </c>
      <c r="G18" s="897">
        <f>SUBTOTAL(9,G15:G17)</f>
        <v>2233</v>
      </c>
      <c r="H18" s="931">
        <f>SUBTOTAL(9,H15:H17)</f>
        <v>0</v>
      </c>
      <c r="I18" s="910">
        <f>SUBTOTAL(9,I15:I17)</f>
        <v>0</v>
      </c>
      <c r="J18" s="866">
        <f>SUBTOTAL(9,J14:J17)</f>
        <v>0</v>
      </c>
      <c r="K18" s="931">
        <f t="shared" ref="K18:S18" si="4">SUBTOTAL(9,K15:K17)</f>
        <v>0</v>
      </c>
      <c r="L18" s="931">
        <f t="shared" si="4"/>
        <v>0</v>
      </c>
      <c r="M18" s="931">
        <f t="shared" si="4"/>
        <v>0</v>
      </c>
      <c r="N18" s="931">
        <f t="shared" si="4"/>
        <v>28</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431</v>
      </c>
      <c r="Z18" s="931">
        <f t="shared" si="5"/>
        <v>37</v>
      </c>
      <c r="AA18" s="931">
        <f t="shared" si="5"/>
        <v>2143</v>
      </c>
      <c r="AB18" s="931">
        <f t="shared" si="5"/>
        <v>0</v>
      </c>
      <c r="AC18" s="931">
        <f t="shared" si="5"/>
        <v>0</v>
      </c>
      <c r="AD18" s="931">
        <f t="shared" si="5"/>
        <v>0</v>
      </c>
      <c r="AE18" s="931">
        <f t="shared" si="5"/>
        <v>187</v>
      </c>
      <c r="AF18" s="931">
        <f t="shared" si="5"/>
        <v>0</v>
      </c>
      <c r="AG18" s="931">
        <f t="shared" si="5"/>
        <v>0</v>
      </c>
      <c r="AH18" s="931">
        <f t="shared" si="5"/>
        <v>0</v>
      </c>
      <c r="AI18" s="931">
        <f t="shared" si="5"/>
        <v>0</v>
      </c>
      <c r="AJ18" s="931">
        <f t="shared" si="5"/>
        <v>115</v>
      </c>
      <c r="AK18" s="931">
        <f t="shared" si="5"/>
        <v>211</v>
      </c>
      <c r="AL18" s="931">
        <f t="shared" si="5"/>
        <v>0</v>
      </c>
      <c r="AM18" s="931">
        <f t="shared" si="5"/>
        <v>0</v>
      </c>
      <c r="AN18" s="931">
        <f t="shared" si="5"/>
        <v>0</v>
      </c>
      <c r="AO18" s="933">
        <f>IF(ISNUMBER(((NºAsuntos!I18/NºAsuntos!G18)*11)/factor_trimestre),((NºAsuntos!I18/NºAsuntos!G18)*11)/factor_trimestre," - ")</f>
        <v>14.916473317865428</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10</v>
      </c>
      <c r="F19" s="819">
        <f t="shared" si="7"/>
        <v>1994</v>
      </c>
      <c r="G19" s="819">
        <f t="shared" si="7"/>
        <v>2233</v>
      </c>
      <c r="H19" s="820">
        <f t="shared" si="7"/>
        <v>0</v>
      </c>
      <c r="I19" s="819">
        <f t="shared" si="7"/>
        <v>0</v>
      </c>
      <c r="J19" s="821">
        <f t="shared" si="7"/>
        <v>0</v>
      </c>
      <c r="K19" s="819">
        <f t="shared" si="7"/>
        <v>0</v>
      </c>
      <c r="L19" s="822">
        <f t="shared" si="7"/>
        <v>0</v>
      </c>
      <c r="M19" s="819">
        <f t="shared" si="7"/>
        <v>0</v>
      </c>
      <c r="N19" s="820">
        <f t="shared" si="7"/>
        <v>278</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431</v>
      </c>
      <c r="Z19" s="826">
        <f t="shared" si="8"/>
        <v>85</v>
      </c>
      <c r="AA19" s="827">
        <f t="shared" si="8"/>
        <v>2143</v>
      </c>
      <c r="AB19" s="827">
        <f t="shared" si="8"/>
        <v>0</v>
      </c>
      <c r="AC19" s="827">
        <f t="shared" si="8"/>
        <v>0</v>
      </c>
      <c r="AD19" s="828">
        <f t="shared" si="8"/>
        <v>0</v>
      </c>
      <c r="AE19" s="828">
        <f t="shared" si="8"/>
        <v>3950</v>
      </c>
      <c r="AF19" s="829">
        <f t="shared" si="8"/>
        <v>0</v>
      </c>
      <c r="AG19" s="830">
        <f t="shared" si="8"/>
        <v>0</v>
      </c>
      <c r="AH19" s="831">
        <f t="shared" si="8"/>
        <v>0</v>
      </c>
      <c r="AI19" s="829">
        <f t="shared" si="8"/>
        <v>0</v>
      </c>
      <c r="AJ19" s="819">
        <f t="shared" si="8"/>
        <v>334</v>
      </c>
      <c r="AK19" s="819">
        <f t="shared" si="8"/>
        <v>537</v>
      </c>
      <c r="AL19" s="819">
        <f t="shared" si="8"/>
        <v>0</v>
      </c>
      <c r="AM19" s="832">
        <f t="shared" si="8"/>
        <v>0</v>
      </c>
      <c r="AN19" s="822">
        <f>IF(ISNUMBER(Datos!K19/Datos!J19),Datos!K19/Datos!J19," - ")</f>
        <v>1.1424847958297133</v>
      </c>
      <c r="AO19" s="822">
        <f>IF(ISNUMBER(FIND("06",Criterios!A8,1)),(IF(ISNUMBER(((Datos!R19/Datos!Q19)*11)/factor_trimestre),((Datos!R19/Datos!Q19)*11)/factor_trimestre," - ")),(IF(ISNUMBER(((Datos!L19/Datos!K19)*11)/factor_trimestre),((Datos!L19/Datos!K19)*11)/factor_trimestre," - ")))</f>
        <v>11.74448669201521</v>
      </c>
      <c r="AP19" s="833" t="str">
        <f>IF(ISNUMBER(Datos!CI19/Datos!CJ19),Datos!CI19/Datos!CJ19," - ")</f>
        <v xml:space="preserve"> - </v>
      </c>
      <c r="AQ19" s="833">
        <f>IF(OR(ISNUMBER(FIND("01",Criterios!A8,1)),ISNUMBER(FIND("02",Criterios!A8,1)),ISNUMBER(FIND("03",Criterios!A8,1)),ISNUMBER(FIND("04",Criterios!A8,1))),(J19-Y19+K19)/(F19-K19),(I19-Y19+K19)/(F19-K19))</f>
        <v>-0.21614844533600802</v>
      </c>
      <c r="AR19" s="833">
        <f>IF(ISNUMBER((Datos!P19-Datos!Q19+O19)/(Datos!R19-Datos!P19+Datos!Q19-O19)),(Datos!P19-Datos!Q19+O19)/(Datos!R19-Datos!P19+Datos!Q19-O19)," - ")</f>
        <v>5.1370774554165555E-2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893.2</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1151.2364367641137</v>
      </c>
      <c r="G21" s="551">
        <f>IF(ISNUMBER(STDEV(G8:G18)),STDEV(G8:G18),"-")</f>
        <v>1221.696238841718</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97.980950529511944</v>
      </c>
      <c r="AK21" s="251"/>
      <c r="AL21" s="251">
        <f>IF(ISNUMBER(STDEV(AL8:AL18)),STDEV(AL8:AL18),"-")</f>
        <v>0</v>
      </c>
      <c r="AM21" s="253">
        <f>IF(ISNUMBER(STDEV(AM8:AM18)),STDEV(AM8:AM18),"-")</f>
        <v>0</v>
      </c>
      <c r="AN21" s="538">
        <f>IF(ISNUMBER(STDEV(AN8:AN18)),STDEV(AN8:AN18),"-")</f>
        <v>0</v>
      </c>
      <c r="AO21" s="539">
        <f>IF(ISNUMBER(STDEV(AO8:AO18)),STDEV(AO8:AO18),"-")</f>
        <v>3.0462560836560897</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230.82251419185957</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17 mar. 2026</v>
      </c>
    </row>
    <row r="32" spans="1:78" ht="13.5" thickBot="1">
      <c r="C32" s="535"/>
      <c r="D32" s="526"/>
      <c r="E32" s="526"/>
    </row>
    <row r="33" spans="12:12" ht="15" thickBot="1">
      <c r="L33" s="545"/>
    </row>
  </sheetData>
  <sheetProtection algorithmName="SHA-512" hashValue="tIPisjlCPY8WM6L0SELmxh+DPB3hxD3v8TvTE+d5OC1pWdsKlPeabzBvjRQBPpXzobDOVPLeEljNIjJS+mhq8Q==" saltValue="0ZApC9YRgSy1eNySgmnym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4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qm2nY7O4yzaMtUSVfU4HAon2DGiE6Th1SOlOiZjSFvMsdZaa3F32bLEiizd4kSczPGrnWfX8pMUhSxh81F4wtg==" saltValue="iStJ6tbpleHE1tXcFTsN6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CADIZ</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3WbAJXNPzEk247t53IsA1ONjLLIOy+zA3cNDrc2v81m/mCx/65vq70aBza4h9/DORchxC/ENgmOjcbDDwTzUnA==" saltValue="Tpai91CajntRYLZXySUZlw=="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ANDALUCIA</v>
      </c>
    </row>
    <row r="2" spans="1:78" ht="16.5" customHeight="1">
      <c r="C2" s="487" t="str">
        <f>Criterios!A10 &amp;"  "&amp;Criterios!B10 &amp; "  " &amp; IF(NOT(ISBLANK(Criterios!A11)),Criterios!A11 &amp;"  "&amp;Criterios!B11,"")</f>
        <v>Provincias  CADIZ  Resumenes por Partidos Judiciales  LINEA DE LA CONCEPCION, LA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0.2264736297828335</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0.16014103937937321</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17 mar. 2026</v>
      </c>
    </row>
    <row r="32" spans="1:78">
      <c r="C32" s="773"/>
      <c r="D32" s="773"/>
    </row>
  </sheetData>
  <sheetProtection algorithmName="SHA-512" hashValue="J8IVovvBgPWqz5iGe8A6xSEAkM49aTUvFDUbsYH3GHr0oKSeYVW3198Z0bqlpeszZu6YHEExCWruZ4wFbzgxmg==" saltValue="1jA1PphbxLDGsJtA4nPCv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kHKWUICa9a9yBhr+mCtlQbIw5JRUa1heNFn6M5wYzmpCN0+z4OI38RPS9Q90PREn/b6lTZzgvlPXnqoQxc9aOQ==" saltValue="zK5PCs6zQ+8LZt6kGHmNd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ANDALUCIA</v>
      </c>
      <c r="C2" s="374"/>
      <c r="D2" s="374"/>
      <c r="E2" s="374"/>
      <c r="F2" s="374"/>
    </row>
    <row r="3" spans="1:69" ht="19.5">
      <c r="A3" s="389" t="s">
        <v>115</v>
      </c>
      <c r="B3" s="390" t="str">
        <f>Criterios!A10 &amp;"  "&amp;Criterios!B10</f>
        <v>Provincias  CADIZ</v>
      </c>
      <c r="D3" s="374"/>
      <c r="E3" s="374"/>
      <c r="F3" s="374"/>
      <c r="BQ3" s="470"/>
    </row>
    <row r="4" spans="1:69" ht="13.5" thickBot="1">
      <c r="A4" s="374"/>
      <c r="B4" s="390" t="str">
        <f>Criterios!A11 &amp;"  "&amp;Criterios!B11</f>
        <v>Resumenes por Partidos Judiciales  LINEA DE LA CONCEPCION, LA</v>
      </c>
      <c r="C4" s="374"/>
      <c r="D4" s="374"/>
      <c r="E4" s="374"/>
      <c r="F4" s="374"/>
      <c r="BQ4" s="470"/>
    </row>
    <row r="5" spans="1:69" ht="15.75" customHeight="1">
      <c r="A5" s="1197" t="str">
        <f>"Año:  " &amp;Criterios!B5 &amp; "     Trimestre   " &amp;Criterios!D5 &amp; " al " &amp;Criterios!D6</f>
        <v>Año:  2025     Trimestre   4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0</v>
      </c>
      <c r="D10" s="403">
        <f>IF(ISNUMBER(C10/Datos!BH10),C10/Datos!BH10," - ")</f>
        <v>0</v>
      </c>
      <c r="E10" s="402">
        <f>IF(ISNUMBER(Datos!J10),Datos!J10," - ")</f>
        <v>0</v>
      </c>
      <c r="F10" s="403">
        <f>IF(ISNUMBER(E10/B10),E10/B10," - ")</f>
        <v>0</v>
      </c>
      <c r="G10" s="402">
        <f>IF(ISNUMBER(Datos!K10),Datos!K10," - ")</f>
        <v>0</v>
      </c>
      <c r="H10" s="403">
        <f>IF(ISNUMBER(G10/B10),G10/B10," - ")</f>
        <v>0</v>
      </c>
      <c r="I10" s="402">
        <f>IF(ISNUMBER(Datos!L10),Datos!L10," - ")</f>
        <v>0</v>
      </c>
      <c r="J10" s="403">
        <f>IF(ISNUMBER(I10/B10),I10/B10," - ")</f>
        <v>0</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5</v>
      </c>
      <c r="C12" s="402">
        <f>IF(ISNUMBER(IF(J_V="SI",Datos!I12,Datos!I12+Datos!Y12)),IF(J_V="SI",Datos!I12,Datos!I12+Datos!Y12)," - ")</f>
        <v>4296</v>
      </c>
      <c r="D12" s="403">
        <f>IF(ISNUMBER(C12/Datos!BH12),C12/Datos!BH12," - ")</f>
        <v>859.2</v>
      </c>
      <c r="E12" s="402">
        <f>IF(ISNUMBER(IF(J_V="SI",Datos!J12,Datos!J12+Datos!Z12)),IF(J_V="SI",Datos!J12,Datos!J12+Datos!Z12)," - ")</f>
        <v>658</v>
      </c>
      <c r="F12" s="403">
        <f>IF(ISNUMBER(E12/B12),E12/B12," - ")</f>
        <v>131.6</v>
      </c>
      <c r="G12" s="402">
        <f>IF(ISNUMBER(IF(J_V="SI",Datos!K12,Datos!K12+Datos!AA12)),IF(J_V="SI",Datos!K12,Datos!K12+Datos!AA12)," - ")</f>
        <v>967</v>
      </c>
      <c r="H12" s="403">
        <f>IF(ISNUMBER(G12/B12),G12/B12," - ")</f>
        <v>193.4</v>
      </c>
      <c r="I12" s="402">
        <f>IF(ISNUMBER(IF(J_V="SI",Datos!L12,Datos!L12+Datos!AB12)),IF(J_V="SI",Datos!L12,Datos!L12+Datos!AB12)," - ")</f>
        <v>3104</v>
      </c>
      <c r="J12" s="403">
        <f>IF(ISNUMBER(I12/B12),I12/B12," - ")</f>
        <v>620.79999999999995</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5</v>
      </c>
      <c r="C13" s="848">
        <f>SUBTOTAL(9,C8:C12)</f>
        <v>4296</v>
      </c>
      <c r="D13" s="849" t="str">
        <f>IF(ISNUMBER(C13/Datos!BI13),C13/Datos!BI13," - ")</f>
        <v xml:space="preserve"> - </v>
      </c>
      <c r="E13" s="848">
        <f>SUBTOTAL(9,E8:E12)</f>
        <v>658</v>
      </c>
      <c r="F13" s="849">
        <f>IF(ISNUMBER(E13/B13),E13/B13," - ")</f>
        <v>131.6</v>
      </c>
      <c r="G13" s="848">
        <f>SUBTOTAL(9,G8:G12)</f>
        <v>967</v>
      </c>
      <c r="H13" s="849">
        <f>IF(ISNUMBER(G13/B13),G13/B13," - ")</f>
        <v>193.4</v>
      </c>
      <c r="I13" s="848">
        <f>SUBTOTAL(9,I8:I12)</f>
        <v>3104</v>
      </c>
      <c r="J13" s="849">
        <f>IF(ISNUMBER(I13/B13),I13/B13," - ")</f>
        <v>620.79999999999995</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5</v>
      </c>
      <c r="C16" s="402">
        <f>IF(ISNUMBER(IF(D_I="SI",Datos!I16,Datos!I16+Datos!AC16)),IF(D_I="SI",Datos!I16,Datos!I16+Datos!AC16)," - ")</f>
        <v>2230</v>
      </c>
      <c r="D16" s="403">
        <f>IF(ISNUMBER(C16/Datos!BH16),C16/Datos!BH16," - ")</f>
        <v>446</v>
      </c>
      <c r="E16" s="402">
        <f>IF(ISNUMBER(IF(D_I="SI",Datos!J16,Datos!J16+Datos!AD16)),IF(D_I="SI",Datos!J16,Datos!J16+Datos!AD16)," - ")</f>
        <v>577</v>
      </c>
      <c r="F16" s="403">
        <f>IF(ISNUMBER(E16/B16),E16/B16," - ")</f>
        <v>115.4</v>
      </c>
      <c r="G16" s="402">
        <f>IF(ISNUMBER(IF(D_I="SI",Datos!K16,Datos!K16+Datos!AE16)),IF(D_I="SI",Datos!K16,Datos!K16+Datos!AE16)," - ")</f>
        <v>431</v>
      </c>
      <c r="H16" s="403">
        <f>IF(ISNUMBER(G16/B16),G16/B16," - ")</f>
        <v>86.2</v>
      </c>
      <c r="I16" s="402">
        <f>IF(ISNUMBER(IF(D_I="SI",Datos!L16,Datos!L16+Datos!AF16)),IF(D_I="SI",Datos!L16,Datos!L16+Datos!AF16)," - ")</f>
        <v>2140</v>
      </c>
      <c r="J16" s="403">
        <f>IF(ISNUMBER(I16/B16),I16/B16," - ")</f>
        <v>428</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3</v>
      </c>
      <c r="D17" s="403">
        <f>IF(ISNUMBER(C17/Datos!BH17),C17/Datos!BH17," - ")</f>
        <v>3</v>
      </c>
      <c r="E17" s="402">
        <f>IF(ISNUMBER(IF(D_I="SI",Datos!J17,Datos!J17+Datos!AD17)),IF(D_I="SI",Datos!J17,Datos!J17+Datos!AD17)," - ")</f>
        <v>0</v>
      </c>
      <c r="F17" s="403">
        <f>IF(ISNUMBER(E17/B17),E17/B17," - ")</f>
        <v>0</v>
      </c>
      <c r="G17" s="402">
        <f>IF(ISNUMBER(IF(D_I="SI",Datos!K17,Datos!K17+Datos!AE17)),IF(D_I="SI",Datos!K17,Datos!K17+Datos!AE17)," - ")</f>
        <v>0</v>
      </c>
      <c r="H17" s="403">
        <f>IF(ISNUMBER(G17/B17),G17/B17," - ")</f>
        <v>0</v>
      </c>
      <c r="I17" s="402">
        <f>IF(ISNUMBER(IF(D_I="SI",Datos!L17,Datos!L17+Datos!AF17)),IF(D_I="SI",Datos!L17,Datos!L17+Datos!AF17)," - ")</f>
        <v>3</v>
      </c>
      <c r="J17" s="403">
        <f>IF(ISNUMBER(I17/B17),I17/B17," - ")</f>
        <v>3</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5</v>
      </c>
      <c r="C18" s="848">
        <f>SUBTOTAL(9,C14:C17)</f>
        <v>2233</v>
      </c>
      <c r="D18" s="849" t="str">
        <f>IF(ISNUMBER(C18/Datos!BI18),C18/Datos!BI18," - ")</f>
        <v xml:space="preserve"> - </v>
      </c>
      <c r="E18" s="848">
        <f>SUBTOTAL(9,E14:E17)</f>
        <v>577</v>
      </c>
      <c r="F18" s="849">
        <f>IF(ISNUMBER(E18/B18),E18/B18," - ")</f>
        <v>115.4</v>
      </c>
      <c r="G18" s="848">
        <f>SUBTOTAL(9,G14:G17)</f>
        <v>431</v>
      </c>
      <c r="H18" s="849">
        <f>IF(ISNUMBER(G18/B18),G18/B18," - ")</f>
        <v>86.2</v>
      </c>
      <c r="I18" s="848">
        <f>SUBTOTAL(9,I14:I17)</f>
        <v>2143</v>
      </c>
      <c r="J18" s="849">
        <f>IF(ISNUMBER(I18/B18),I18/B18," - ")</f>
        <v>428.6</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5</v>
      </c>
      <c r="C19" s="793">
        <f>SUBTOTAL(9,C9:C18)</f>
        <v>6529</v>
      </c>
      <c r="D19" s="794" t="str">
        <f>IF(ISNUMBER(C19/Datos!BI19),C19/Datos!BI19," - ")</f>
        <v xml:space="preserve"> - </v>
      </c>
      <c r="E19" s="793">
        <f>SUBTOTAL(9,E9:E18)</f>
        <v>1235</v>
      </c>
      <c r="F19" s="794">
        <f>IF(ISNUMBER(E19/B19),E19/B19," - ")</f>
        <v>247</v>
      </c>
      <c r="G19" s="793">
        <f>SUBTOTAL(9,G9:G18)</f>
        <v>1398</v>
      </c>
      <c r="H19" s="794">
        <f>IF(ISNUMBER(G19/B19),G19/B19," - ")</f>
        <v>279.60000000000002</v>
      </c>
      <c r="I19" s="793">
        <f>SUBTOTAL(9,I9:I18)</f>
        <v>5247</v>
      </c>
      <c r="J19" s="794">
        <f>IF(ISNUMBER(I19/B19),I19/B19," - ")</f>
        <v>1049.4000000000001</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17 mar. 2026</v>
      </c>
    </row>
    <row r="27" spans="1:69">
      <c r="A27" s="413"/>
    </row>
  </sheetData>
  <sheetProtection algorithmName="SHA-512" hashValue="3CYQs18uNP0En2JzoZbiTQQ+RloyldupWpdjDdykkrkwBuZ8odTBejyoC0g4uVj6+fE7ZhM6dOtYD1gFtGGNww==" saltValue="C02Ov1pjMGCa0PkQ35Eyx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ANDALUCIA</v>
      </c>
      <c r="W1"/>
      <c r="X1"/>
    </row>
    <row r="2" spans="1:78" ht="16.5" customHeight="1">
      <c r="C2" s="487" t="str">
        <f>Criterios!A10 &amp;"  "&amp;Criterios!B10 &amp; "  " &amp; IF(NOT(ISBLANK(Criterios!A11)),Criterios!A11 &amp;"  "&amp;Criterios!B11,"")</f>
        <v>Provincias  CADIZ  Resumenes por Partidos Judiciales  LINEA DE LA CONCEPCION, LA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4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0</v>
      </c>
      <c r="G10" s="683">
        <f>IF(ISNUMBER(Datos!I10),Datos!I10," - ")</f>
        <v>0</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0</v>
      </c>
      <c r="AC10" s="682" t="str">
        <f>IF(ISNUMBER(IF(D_I="SI",DatosP!K17,DatosP!K17+DatosP!AE17)),IF(D_I="SI",DatosP!K17,DatosP!K17+DatosP!AE17)," - ")</f>
        <v xml:space="preserve"> - </v>
      </c>
      <c r="AD10" s="684"/>
      <c r="AE10" s="684"/>
      <c r="AF10" s="687">
        <f>IF(ISNUMBER(Datos!L10),Datos!L10,"-")</f>
        <v>0</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0</v>
      </c>
      <c r="AM10" s="689">
        <f>IF(ISNUMBER(Datos!N10+DatosP!N17),Datos!N10+DatosP!N17," - ")</f>
        <v>0</v>
      </c>
      <c r="AN10" s="689">
        <f>IF(ISNUMBER(Datos!BW10+DatosP!BW17),Datos!BW10+DatosP!BW17," - ")</f>
        <v>0</v>
      </c>
      <c r="AO10" s="690">
        <f>IF(ISNUMBER(Datos!BX10+DatosP!BX17),Datos!BX10+DatosP!BX17," - ")</f>
        <v>0</v>
      </c>
      <c r="AP10" s="692" t="str">
        <f>IF(ISNUMBER(((Datos!L10/Datos!K10)*11)/factor_trimestre),((Datos!L10/Datos!K10)*11)/factor_trimestre," - ")</f>
        <v xml:space="preserve"> - </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5</v>
      </c>
      <c r="B12" s="506" t="s">
        <v>246</v>
      </c>
      <c r="C12" s="7" t="str">
        <f>Datos!A12</f>
        <v xml:space="preserve">Jdos. 1ª Instª. e Instr./Secc. Civil y de Inst. TI                      </v>
      </c>
      <c r="D12" s="507"/>
      <c r="E12" s="681">
        <f>IF(ISNUMBER(Datos!AQ12),Datos!AQ12," - ")</f>
        <v>5</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250</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48</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3763</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219</v>
      </c>
      <c r="AM12" s="689">
        <f>IF(ISNUMBER(Datos!N12+DatosP!N16),Datos!N12+DatosP!N16," - ")</f>
        <v>326</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9.6297828335056881</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5.6725638865487225E-2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5</v>
      </c>
      <c r="F13" s="937">
        <f t="shared" si="0"/>
        <v>0</v>
      </c>
      <c r="G13" s="937">
        <f t="shared" si="0"/>
        <v>0</v>
      </c>
      <c r="H13" s="937">
        <f t="shared" si="0"/>
        <v>0</v>
      </c>
      <c r="I13" s="939">
        <f t="shared" si="0"/>
        <v>0</v>
      </c>
      <c r="J13" s="938">
        <f t="shared" si="0"/>
        <v>0</v>
      </c>
      <c r="K13" s="938">
        <f t="shared" si="0"/>
        <v>0</v>
      </c>
      <c r="L13" s="940">
        <f t="shared" si="0"/>
        <v>0</v>
      </c>
      <c r="M13" s="940">
        <f t="shared" si="0"/>
        <v>0</v>
      </c>
      <c r="N13" s="938">
        <f t="shared" si="0"/>
        <v>250</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0</v>
      </c>
      <c r="AC13" s="938">
        <f t="shared" si="1"/>
        <v>0</v>
      </c>
      <c r="AD13" s="938">
        <f t="shared" si="1"/>
        <v>48</v>
      </c>
      <c r="AE13" s="938">
        <f t="shared" si="1"/>
        <v>0</v>
      </c>
      <c r="AF13" s="938">
        <f t="shared" si="1"/>
        <v>0</v>
      </c>
      <c r="AG13" s="938">
        <f t="shared" si="1"/>
        <v>0</v>
      </c>
      <c r="AH13" s="938">
        <f t="shared" si="1"/>
        <v>3763</v>
      </c>
      <c r="AI13" s="938">
        <f t="shared" si="1"/>
        <v>0</v>
      </c>
      <c r="AJ13" s="938">
        <f t="shared" si="1"/>
        <v>0</v>
      </c>
      <c r="AK13" s="938">
        <f t="shared" si="1"/>
        <v>0</v>
      </c>
      <c r="AL13" s="938">
        <f t="shared" si="1"/>
        <v>219</v>
      </c>
      <c r="AM13" s="938">
        <f t="shared" si="1"/>
        <v>326</v>
      </c>
      <c r="AN13" s="938">
        <f t="shared" si="1"/>
        <v>0</v>
      </c>
      <c r="AO13" s="938">
        <f t="shared" si="1"/>
        <v>0</v>
      </c>
      <c r="AP13" s="943">
        <f>IF(ISNUMBER(((Datos!L13/Datos!K13)*11)/factor_trimestre),((Datos!L13/Datos!K13)*11)/factor_trimestre," - ")</f>
        <v>10.197963800904978</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t="e">
        <f>IF(OR(ISNUMBER(FIND("04",Criterios!A8,1))),(BC13-AB13+J13)/(F13-J13),(H13-AB13+J13)/(F13-J13))</f>
        <v>#DIV/0!</v>
      </c>
      <c r="AU13" s="938" t="str">
        <f>IF(ISNUMBER((DatosP!#REF!-DatosP!#REF!+DatosP!#REF!)/(DatosP!#REF!+DatosP!#REF!-DatosP!#REF!-DatosP!#REF!)),(DatosP!#REF!-DatosP!#REF!+DatosP!#REF!)/(DatosP!#REF!+DatosP!#REF!-DatosP!#REF!-DatosP!#REF!)," - ")</f>
        <v xml:space="preserve"> - </v>
      </c>
      <c r="AV13" s="944">
        <f>SUBTOTAL(9,AV9:AV12)</f>
        <v>5.6725638865487225E-2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5</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14.916473317865428</v>
      </c>
      <c r="AQ18" s="943">
        <f>IF(ISNUMBER(((Datos!M18/Datos!L18)*11)/factor_trimestre),((Datos!M18/Datos!L18)*11)/factor_trimestre," - ")</f>
        <v>0.16098926738217451</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-4.5918367346938778E-2</v>
      </c>
      <c r="AW18" s="945">
        <f>IF(ISNUMBER((Datos!Q18-Datos!R18)/(Datos!S18-Datos!Q18+Datos!R18)),(Datos!Q18-Datos!R18)/(Datos!S18-Datos!Q18+Datos!R18)," - ")</f>
        <v>-6.6195939982347754E-2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5</v>
      </c>
      <c r="F19" s="950">
        <f t="shared" si="4"/>
        <v>0</v>
      </c>
      <c r="G19" s="950">
        <f t="shared" si="4"/>
        <v>0</v>
      </c>
      <c r="H19" s="950">
        <f t="shared" si="4"/>
        <v>0</v>
      </c>
      <c r="I19" s="951">
        <f t="shared" si="4"/>
        <v>0</v>
      </c>
      <c r="J19" s="952">
        <f t="shared" si="4"/>
        <v>0</v>
      </c>
      <c r="K19" s="952">
        <f t="shared" si="4"/>
        <v>0</v>
      </c>
      <c r="L19" s="952">
        <f t="shared" si="4"/>
        <v>0</v>
      </c>
      <c r="M19" s="952">
        <f t="shared" si="4"/>
        <v>0</v>
      </c>
      <c r="N19" s="951">
        <f t="shared" si="4"/>
        <v>250</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0</v>
      </c>
      <c r="AC19" s="956">
        <f t="shared" si="5"/>
        <v>0</v>
      </c>
      <c r="AD19" s="956">
        <f t="shared" si="5"/>
        <v>48</v>
      </c>
      <c r="AE19" s="956">
        <f t="shared" si="5"/>
        <v>0</v>
      </c>
      <c r="AF19" s="957">
        <f t="shared" si="5"/>
        <v>0</v>
      </c>
      <c r="AG19" s="957">
        <f t="shared" si="5"/>
        <v>0</v>
      </c>
      <c r="AH19" s="957">
        <f t="shared" si="5"/>
        <v>3763</v>
      </c>
      <c r="AI19" s="957">
        <f t="shared" si="5"/>
        <v>0</v>
      </c>
      <c r="AJ19" s="958">
        <f t="shared" si="5"/>
        <v>0</v>
      </c>
      <c r="AK19" s="958">
        <f t="shared" si="5"/>
        <v>0</v>
      </c>
      <c r="AL19" s="950">
        <f t="shared" si="5"/>
        <v>219</v>
      </c>
      <c r="AM19" s="950">
        <f t="shared" si="5"/>
        <v>326</v>
      </c>
      <c r="AN19" s="950">
        <f t="shared" si="5"/>
        <v>0</v>
      </c>
      <c r="AO19" s="950">
        <f t="shared" si="5"/>
        <v>0</v>
      </c>
      <c r="AP19" s="950">
        <f>IF(ISNUMBER(((Datos!L19/Datos!K19)*11)/factor_trimestre),((Datos!L19/Datos!K19)*11)/factor_trimestre," - ")</f>
        <v>11.74448669201521</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t="e">
        <f>IF(OR(ISNUMBER(FIND("04",Criterios!A8,1))),(BC19-AB19+J19)/(F19-J19),(H19-AB19+J19)/(F19-J19))</f>
        <v>#DIV/0!</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5.1370774554165555E-2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0</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2.5819888974716112</v>
      </c>
      <c r="F21" s="735">
        <f>IF(ISNUMBER(STDEV(F8:F18)),STDEV(F8:F18),"-")</f>
        <v>0</v>
      </c>
      <c r="G21" s="736">
        <f>IF(ISNUMBER(STDEV(G8:G18)),STDEV(G8:G18),"-")</f>
        <v>0</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0</v>
      </c>
      <c r="AC21" s="737">
        <f>IF(ISNUMBER(STDEV(AC8:AC18)),STDEV(AC8:AC18),"-")</f>
        <v>0</v>
      </c>
      <c r="AD21" s="740"/>
      <c r="AE21" s="740"/>
      <c r="AF21" s="740"/>
      <c r="AG21" s="740"/>
      <c r="AH21" s="740"/>
      <c r="AI21" s="740"/>
      <c r="AJ21" s="741">
        <f>IF(ISNUMBER(STDEV(AJ8:AJ18)),STDEV(AJ8:AJ18),"-")</f>
        <v>0</v>
      </c>
      <c r="AK21" s="743"/>
      <c r="AL21" s="735">
        <f>IF(ISNUMBER(STDEV(AL8:AL18)),STDEV(AL8:AL18),"-")</f>
        <v>126.43970895252804</v>
      </c>
      <c r="AM21" s="735"/>
      <c r="AN21" s="735">
        <f>IF(ISNUMBER(STDEV(AN8:AN18)),STDEV(AN8:AN18),"-")</f>
        <v>0</v>
      </c>
      <c r="AO21" s="741">
        <f>IF(ISNUMBER(STDEV(AO8:AO18)),STDEV(AO8:AO18),"-")</f>
        <v>0</v>
      </c>
      <c r="AP21" s="778">
        <f>IF(ISNUMBER(STDEV(AP8:AP18)),STDEV(AP8:AP18),"-")</f>
        <v>2.9021904931384879</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17 mar. 2026</v>
      </c>
      <c r="W30"/>
      <c r="X30"/>
    </row>
    <row r="32" spans="1:78">
      <c r="C32" s="773"/>
      <c r="D32" s="773"/>
      <c r="W32"/>
      <c r="X32"/>
    </row>
  </sheetData>
  <sheetProtection algorithmName="SHA-512" hashValue="LpFXvdoUjx8G4wA1OklP8/gZZgTVEkKIAEv/w7FRNKMETQQPre7LTq537ddnpVIG4gbbcEKFKyvWNv69KGGFbw==" saltValue="7ilkwXKGnYlJLLYhXQPg1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ANDALUCIA</v>
      </c>
      <c r="C2" s="374"/>
      <c r="E2" s="374"/>
      <c r="F2" s="374"/>
      <c r="G2" s="374"/>
      <c r="H2" s="374"/>
    </row>
    <row r="3" spans="1:15" ht="39">
      <c r="A3" s="414" t="s">
        <v>218</v>
      </c>
      <c r="B3" s="390" t="str">
        <f>Criterios!A10 &amp;"  "&amp;Criterios!B10</f>
        <v>Provincias  CADIZ</v>
      </c>
      <c r="C3" s="414"/>
      <c r="F3" s="374"/>
      <c r="G3" s="374"/>
      <c r="H3" s="374"/>
    </row>
    <row r="4" spans="1:15" ht="13.5" thickBot="1">
      <c r="A4" s="374"/>
      <c r="B4" s="390" t="str">
        <f>Criterios!A11 &amp;"  "&amp;Criterios!B11</f>
        <v>Resumenes por Partidos Judiciales  LINEA DE LA CONCEPCION, LA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5</v>
      </c>
      <c r="D12" s="402">
        <f>Datos!BK12</f>
        <v>0</v>
      </c>
      <c r="E12" s="402">
        <f>Datos!AQ12</f>
        <v>5</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5</v>
      </c>
      <c r="D16" s="402">
        <f>Datos!BK16</f>
        <v>0</v>
      </c>
      <c r="E16" s="402">
        <f>Datos!AQ16</f>
        <v>5</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17 mar. 2026</v>
      </c>
      <c r="B23" s="390"/>
      <c r="C23" s="390"/>
    </row>
    <row r="27" spans="1:13">
      <c r="A27" s="413"/>
      <c r="B27" s="413"/>
      <c r="C27" s="413"/>
    </row>
  </sheetData>
  <sheetProtection algorithmName="SHA-512" hashValue="FZPgACSbrU85aGIDhfecsLzaBv/ExjoQkTSMTJOFHF3y3V8EhUsi/w5SdgTyHGQOHPyCfWSIaBorea4q4+smiA==" saltValue="jtjaWTXDQQHdpa84IB4/5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ANDALUCIA</v>
      </c>
      <c r="C2" s="390"/>
    </row>
    <row r="3" spans="1:78" ht="19.5">
      <c r="A3" s="424" t="s">
        <v>11</v>
      </c>
      <c r="B3" s="390" t="str">
        <f>Criterios!A10 &amp;"  "&amp;Criterios!B10</f>
        <v>Provincias  CADIZ</v>
      </c>
      <c r="C3" s="390"/>
      <c r="D3" s="424"/>
      <c r="BZ3" s="470"/>
    </row>
    <row r="4" spans="1:78" ht="13.5" thickBot="1">
      <c r="B4" s="390" t="str">
        <f>Criterios!A11 &amp;"  "&amp;Criterios!B11</f>
        <v>Resumenes por Partidos Judiciales  LINEA DE LA CONCEPCION, LA</v>
      </c>
      <c r="BZ4" s="470"/>
    </row>
    <row r="5" spans="1:78" ht="15.75" customHeight="1">
      <c r="A5" s="1209" t="str">
        <f>"Año:  " &amp;Criterios!B5 &amp; "                  Trimestre   " &amp;Criterios!D5 &amp; " al " &amp;Criterios!D6</f>
        <v>Año:  2025                  Trimestre   4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0</v>
      </c>
      <c r="E10" s="403">
        <f>IF(ISNUMBER(D10/B10),D10/B10," - ")</f>
        <v>0</v>
      </c>
      <c r="F10" s="402">
        <f>IF(ISNUMBER(Datos!N10),Datos!N10," - ")</f>
        <v>0</v>
      </c>
      <c r="G10" s="403">
        <f>IF(ISNUMBER(F10/B10),F10/B10," - ")</f>
        <v>0</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5</v>
      </c>
      <c r="C12" s="409">
        <f>Datos!AQ12</f>
        <v>5</v>
      </c>
      <c r="D12" s="402">
        <f>IF(ISNUMBER(Datos!M12),Datos!M12," - ")</f>
        <v>219</v>
      </c>
      <c r="E12" s="403">
        <f t="shared" si="0"/>
        <v>43.8</v>
      </c>
      <c r="F12" s="402">
        <f>IF(ISNUMBER(Datos!N12),Datos!N12," - ")</f>
        <v>326</v>
      </c>
      <c r="G12" s="403">
        <f t="shared" si="1"/>
        <v>65.2</v>
      </c>
      <c r="H12" s="402">
        <f>IF(ISNUMBER(Datos!O12),Datos!O12," - ")</f>
        <v>414</v>
      </c>
      <c r="I12" s="403">
        <f t="shared" si="2"/>
        <v>82.8</v>
      </c>
      <c r="BZ12" s="1185">
        <f>Datos!EZ12</f>
        <v>0</v>
      </c>
    </row>
    <row r="13" spans="1:78" ht="14.25" thickTop="1" thickBot="1">
      <c r="A13" s="847" t="str">
        <f>Datos!A13</f>
        <v>TOTAL</v>
      </c>
      <c r="B13" s="848">
        <f>Datos!AP13</f>
        <v>5</v>
      </c>
      <c r="C13" s="850">
        <f>Datos!AR13</f>
        <v>5</v>
      </c>
      <c r="D13" s="848">
        <f>SUBTOTAL(9,D9:D12)</f>
        <v>219</v>
      </c>
      <c r="E13" s="849">
        <f t="shared" si="0"/>
        <v>43.8</v>
      </c>
      <c r="F13" s="848">
        <f>SUBTOTAL(9,F9:F12)</f>
        <v>326</v>
      </c>
      <c r="G13" s="849">
        <f t="shared" si="1"/>
        <v>65.2</v>
      </c>
      <c r="H13" s="848">
        <f>SUBTOTAL(9,H9:H12)</f>
        <v>414</v>
      </c>
      <c r="I13" s="849">
        <f>IF(ISNUMBER(H13/B13),H13/B13," - ")</f>
        <v>82.8</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5</v>
      </c>
      <c r="C16" s="427">
        <f>Datos!AQ16</f>
        <v>5</v>
      </c>
      <c r="D16" s="402">
        <f>IF(ISNUMBER(Datos!M16),Datos!M16," - ")</f>
        <v>115</v>
      </c>
      <c r="E16" s="403">
        <f t="shared" si="3"/>
        <v>23</v>
      </c>
      <c r="F16" s="402">
        <f>IF(ISNUMBER(Datos!N16),Datos!N16," - ")</f>
        <v>211</v>
      </c>
      <c r="G16" s="403">
        <f t="shared" si="4"/>
        <v>42.2</v>
      </c>
      <c r="H16" s="402">
        <f>IF(ISNUMBER(Datos!O16),Datos!O16," - ")</f>
        <v>12</v>
      </c>
      <c r="I16" s="403">
        <f t="shared" si="5"/>
        <v>2.4</v>
      </c>
      <c r="BZ16" s="1185">
        <f>Datos!EZ16</f>
        <v>0</v>
      </c>
    </row>
    <row r="17" spans="1:78" ht="13.5" thickBot="1">
      <c r="A17" s="401" t="str">
        <f>Datos!A17</f>
        <v>Jdos. Violencia contra la mujer/Secc Viol. TI.</v>
      </c>
      <c r="B17" s="426">
        <f>Datos!AO17</f>
        <v>1</v>
      </c>
      <c r="C17" s="427">
        <f>Datos!AQ17</f>
        <v>0</v>
      </c>
      <c r="D17" s="402">
        <f>IF(ISNUMBER(Datos!M17),Datos!M17," - ")</f>
        <v>0</v>
      </c>
      <c r="E17" s="403">
        <f>IF(ISNUMBER(D17/B17),D17/B17," - ")</f>
        <v>0</v>
      </c>
      <c r="F17" s="402">
        <f>IF(ISNUMBER(Datos!N17),Datos!N17," - ")</f>
        <v>0</v>
      </c>
      <c r="G17" s="403">
        <f>IF(ISNUMBER(F17/B17),F17/B17," - ")</f>
        <v>0</v>
      </c>
      <c r="H17" s="402">
        <f>IF(ISNUMBER(Datos!O17),Datos!O17," - ")</f>
        <v>0</v>
      </c>
      <c r="I17" s="403">
        <f t="shared" si="5"/>
        <v>0</v>
      </c>
      <c r="BZ17" s="1185">
        <f>Datos!EZ17</f>
        <v>0</v>
      </c>
    </row>
    <row r="18" spans="1:78" ht="14.25" thickTop="1" thickBot="1">
      <c r="A18" s="847" t="str">
        <f>Datos!A18</f>
        <v>TOTAL</v>
      </c>
      <c r="B18" s="848">
        <f>Datos!AP18</f>
        <v>5</v>
      </c>
      <c r="C18" s="850">
        <f>Datos!AR18</f>
        <v>5</v>
      </c>
      <c r="D18" s="848">
        <f>SUBTOTAL(9,D15:D17)</f>
        <v>115</v>
      </c>
      <c r="E18" s="849">
        <f t="shared" si="3"/>
        <v>23</v>
      </c>
      <c r="F18" s="848">
        <f>SUBTOTAL(9,F15:F17)</f>
        <v>211</v>
      </c>
      <c r="G18" s="849">
        <f t="shared" si="4"/>
        <v>42.2</v>
      </c>
      <c r="H18" s="848">
        <f>SUBTOTAL(9,H15:H17)</f>
        <v>12</v>
      </c>
      <c r="I18" s="849">
        <f>IF(ISNUMBER(H18/B18),H18/B18," - ")</f>
        <v>2.4</v>
      </c>
      <c r="BZ18" s="1185"/>
    </row>
    <row r="19" spans="1:78" ht="14.25" thickTop="1" thickBot="1">
      <c r="A19" s="792" t="str">
        <f>Datos!A19</f>
        <v>TOTAL JURISDICCIONES</v>
      </c>
      <c r="B19" s="793">
        <f>Datos!AP19</f>
        <v>5</v>
      </c>
      <c r="C19" s="793">
        <f>Datos!AR19</f>
        <v>5</v>
      </c>
      <c r="D19" s="793">
        <f>SUBTOTAL(9,D8:D18)</f>
        <v>334</v>
      </c>
      <c r="E19" s="794">
        <f>IF(ISNUMBER(D19/B19),D19/B19," - ")</f>
        <v>66.8</v>
      </c>
      <c r="F19" s="793">
        <f>SUBTOTAL(9,F8:F18)</f>
        <v>537</v>
      </c>
      <c r="G19" s="794">
        <f>IF(ISNUMBER(F19/B19),F19/B19," - ")</f>
        <v>107.4</v>
      </c>
      <c r="H19" s="793">
        <f>SUBTOTAL(9,H8:H18)</f>
        <v>426</v>
      </c>
      <c r="I19" s="794">
        <f>IF(ISNUMBER(H19/B19),H19/B19," - ")</f>
        <v>85.2</v>
      </c>
    </row>
    <row r="22" spans="1:78">
      <c r="A22" s="390" t="str">
        <f>Criterios!A4</f>
        <v>Fecha Informe: 17 mar. 2026</v>
      </c>
    </row>
    <row r="27" spans="1:78">
      <c r="A27" s="413"/>
    </row>
  </sheetData>
  <sheetProtection algorithmName="SHA-512" hashValue="5U3A1Xv1Fkio81ABcoTJ18byrvmqWaoLS/ZwVerBNvKUhvCISjEmeeSWx082iuqZDjh43HBCnQ0Pq0mALsLkTw==" saltValue="bkLhvo9XCMNFZod9gci02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ANDALUCIA</v>
      </c>
    </row>
    <row r="3" spans="1:4" ht="19.5">
      <c r="A3" s="428" t="s">
        <v>32</v>
      </c>
      <c r="B3" s="390" t="str">
        <f>Criterios!A10 &amp;"  "&amp;Criterios!B10</f>
        <v>Provincias  CADIZ</v>
      </c>
    </row>
    <row r="4" spans="1:4" ht="13.5" thickBot="1">
      <c r="B4" s="390" t="str">
        <f>Criterios!A11 &amp;"  "&amp;Criterios!B11</f>
        <v>Resumenes por Partidos Judiciales  LINEA DE LA CONCEPCION, LA</v>
      </c>
    </row>
    <row r="5" spans="1:4" ht="12.75" customHeight="1">
      <c r="A5" s="1209" t="str">
        <f>"Año:  " &amp;Criterios!B5 &amp; "                  Trimestre   " &amp;Criterios!D5 &amp; " al " &amp;Criterios!D6</f>
        <v>Año:  2025                  Trimestre   4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0</v>
      </c>
      <c r="D10" s="407">
        <f>IF(ISNUMBER(Datos!R10),Datos!R10," - ")</f>
        <v>0</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250</v>
      </c>
      <c r="C12" s="433">
        <f>IF(ISNUMBER(Datos!Q12),Datos!Q12," - ")</f>
        <v>48</v>
      </c>
      <c r="D12" s="407">
        <f>IF(ISNUMBER(Datos!R12),Datos!R12," - ")</f>
        <v>3763</v>
      </c>
    </row>
    <row r="13" spans="1:4" ht="14.25" thickTop="1" thickBot="1">
      <c r="A13" s="847" t="str">
        <f>Datos!A13</f>
        <v>TOTAL</v>
      </c>
      <c r="B13" s="848">
        <f>SUBTOTAL(9,B9:B12)</f>
        <v>250</v>
      </c>
      <c r="C13" s="852">
        <f>SUBTOTAL(9,C9:C12)</f>
        <v>48</v>
      </c>
      <c r="D13" s="850">
        <f>SUBTOTAL(9,D9:D12)</f>
        <v>3763</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28</v>
      </c>
      <c r="C16" s="433">
        <f>IF(ISNUMBER(Datos!Q16),Datos!Q16," - ")</f>
        <v>37</v>
      </c>
      <c r="D16" s="407">
        <f>IF(ISNUMBER(Datos!R16),Datos!R16," - ")</f>
        <v>187</v>
      </c>
    </row>
    <row r="17" spans="1:4" ht="13.5" thickBot="1">
      <c r="A17" s="401" t="str">
        <f>Datos!A17</f>
        <v>Jdos. Violencia contra la mujer/Secc Viol. TI.</v>
      </c>
      <c r="B17" s="432">
        <f>IF(ISNUMBER(Datos!P17),Datos!P17," - ")</f>
        <v>0</v>
      </c>
      <c r="C17" s="433">
        <f>IF(ISNUMBER(Datos!Q17),Datos!Q17," - ")</f>
        <v>0</v>
      </c>
      <c r="D17" s="407">
        <f>IF(ISNUMBER(Datos!R17),Datos!R17," - ")</f>
        <v>0</v>
      </c>
    </row>
    <row r="18" spans="1:4" ht="14.25" thickTop="1" thickBot="1">
      <c r="A18" s="847" t="str">
        <f>Datos!A18</f>
        <v>TOTAL</v>
      </c>
      <c r="B18" s="848">
        <f>SUBTOTAL(9,B15:B17)</f>
        <v>28</v>
      </c>
      <c r="C18" s="852">
        <f>SUBTOTAL(9,C15:C17)</f>
        <v>37</v>
      </c>
      <c r="D18" s="850">
        <f>SUBTOTAL(9,D15:D17)</f>
        <v>187</v>
      </c>
    </row>
    <row r="19" spans="1:4" ht="16.5" customHeight="1" thickTop="1" thickBot="1">
      <c r="A19" s="792" t="str">
        <f>Datos!A19</f>
        <v>TOTAL JURISDICCIONES</v>
      </c>
      <c r="B19" s="797">
        <f>SUBTOTAL(9,B8:B18)</f>
        <v>278</v>
      </c>
      <c r="C19" s="798">
        <f>SUBTOTAL(9,C8:C18)</f>
        <v>85</v>
      </c>
      <c r="D19" s="799">
        <f>SUBTOTAL(9,D8:D18)</f>
        <v>3950</v>
      </c>
    </row>
    <row r="20" spans="1:4" ht="7.5" customHeight="1"/>
    <row r="21" spans="1:4" ht="6" customHeight="1"/>
    <row r="22" spans="1:4">
      <c r="A22" s="390" t="str">
        <f>Criterios!A4</f>
        <v>Fecha Informe: 17 mar. 2026</v>
      </c>
    </row>
    <row r="27" spans="1:4">
      <c r="A27" s="413"/>
    </row>
  </sheetData>
  <sheetProtection algorithmName="SHA-512" hashValue="UNc/3KCC3LARbxuHZ8WGZahirGddr066lTM5/OzFnw/yYgtjiBvn4ALrsPrX+eOzBFxY33xSDhSJ5R+CYYre+g==" saltValue="ACBHcGWZoJR9leuxnnwCy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ANDALUCIA</v>
      </c>
    </row>
    <row r="3" spans="1:11" ht="18.75" customHeight="1">
      <c r="A3" s="428" t="s">
        <v>118</v>
      </c>
      <c r="B3" s="390" t="str">
        <f>Criterios!A10 &amp;"  "&amp;Criterios!B10</f>
        <v>Provincias  CADIZ</v>
      </c>
    </row>
    <row r="4" spans="1:11" ht="10.5" customHeight="1" thickBot="1">
      <c r="B4" s="390" t="str">
        <f>Criterios!A11 &amp;"  "&amp;Criterios!B11</f>
        <v>Resumenes por Partidos Judiciales  LINEA DE LA CONCEPCION, LA</v>
      </c>
    </row>
    <row r="5" spans="1:11" ht="12.75" customHeight="1">
      <c r="A5" s="1209" t="str">
        <f>"Año:  " &amp;Criterios!B5 &amp; "    Trimestre   " &amp;Criterios!D5 &amp; " al " &amp;Criterios!D6</f>
        <v>Año:  2025    Trimestre   4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t="str">
        <f>IF(ISNUMBER((Datos!I10-Datos!S10)/Datos!S10),(Datos!I10-Datos!S10)/Datos!S10," - ")</f>
        <v xml:space="preserve"> - </v>
      </c>
      <c r="C10" s="455" t="str">
        <f>IF(ISNUMBER((Datos!J10-Datos!T10)/Datos!T10),(Datos!J10-Datos!T10)/Datos!T10," - ")</f>
        <v xml:space="preserve"> - </v>
      </c>
      <c r="D10" s="455" t="str">
        <f>IF(ISNUMBER((Datos!K10-Datos!U10)/Datos!U10),(Datos!K10-Datos!U10)/Datos!U10," - ")</f>
        <v xml:space="preserve"> - </v>
      </c>
      <c r="E10" s="455" t="str">
        <f>IF(ISNUMBER((Datos!L10-Datos!V10)/Datos!V10),(Datos!L10-Datos!V10)/Datos!V10," - ")</f>
        <v xml:space="preserve"> - </v>
      </c>
      <c r="F10" s="455" t="str">
        <f>IF(ISNUMBER((Datos!M10-Datos!W10)/Datos!W10),(Datos!M10-Datos!W10)/Datos!W10," - ")</f>
        <v xml:space="preserve"> - </v>
      </c>
      <c r="G10" s="456" t="str">
        <f>IF(ISNUMBER((Datos!N10-Datos!X10)/Datos!X10),(Datos!N10-Datos!X10)/Datos!X10," - ")</f>
        <v xml:space="preserve"> - </v>
      </c>
      <c r="H10" s="454" t="str">
        <f>IF(ISNUMBER(((NºAsuntos!G10/NºAsuntos!E10)-Datos!BD10)/Datos!BD10),((NºAsuntos!G10/NºAsuntos!E10)-Datos!BD10)/Datos!BD10," - ")</f>
        <v xml:space="preserve"> - </v>
      </c>
      <c r="I10" s="455" t="str">
        <f>IF(ISNUMBER(((NºAsuntos!I10/NºAsuntos!G10)-Datos!BE10)/Datos!BE10),((NºAsuntos!I10/NºAsuntos!G10)-Datos!BE10)/Datos!BE10," - ")</f>
        <v xml:space="preserve"> - </v>
      </c>
      <c r="J10" s="460" t="str">
        <f>IF(ISNUMBER((('Resol  Asuntos'!D10/NºAsuntos!G10)-Datos!BF10)/Datos!BF10),(('Resol  Asuntos'!D10/NºAsuntos!G10)-Datos!BF10)/Datos!BF10," - ")</f>
        <v xml:space="preserve"> - </v>
      </c>
      <c r="K10" s="461" t="str">
        <f>IF(ISNUMBER((((NºAsuntos!C10+NºAsuntos!E10)/NºAsuntos!G10)-Datos!BG10)/Datos!BG10),(((NºAsuntos!C10+NºAsuntos!E10)/NºAsuntos!G10)-Datos!BG10)/Datos!BG10," - ")</f>
        <v xml:space="preserve"> - </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0.10835913312693499</v>
      </c>
      <c r="C12" s="455">
        <f>IF(ISNUMBER(
   IF(J_V="SI",(Datos!J12-Datos!T12)/Datos!T12,(Datos!J12+Datos!Z12-(Datos!T12+Datos!AH12))/(Datos!T12+Datos!AH12))
     ),IF(J_V="SI",(Datos!J12-Datos!T12)/Datos!T12,(Datos!J12+Datos!Z12-(Datos!T12+Datos!AH12))/(Datos!T12+Datos!AH12))," - ")</f>
        <v>-0.31315240083507306</v>
      </c>
      <c r="D12" s="455">
        <f>IF(ISNUMBER(
   IF(J_V="SI",(Datos!K12-Datos!U12)/Datos!U12,(Datos!K12+Datos!AA12-(Datos!U12+Datos!AI12))/(Datos!U12+Datos!AI12))
     ),IF(J_V="SI",(Datos!K12-Datos!U12)/Datos!U12,(Datos!K12+Datos!AA12-(Datos!U12+Datos!AI12))/(Datos!U12+Datos!AI12))," - ")</f>
        <v>0.39739884393063585</v>
      </c>
      <c r="E12" s="455">
        <f>IF(ISNUMBER(
   IF(J_V="SI",(Datos!L12-Datos!V12)/Datos!V12,(Datos!L12+Datos!AB12-(Datos!V12+Datos!AJ12))/(Datos!V12+Datos!AJ12))
     ),IF(J_V="SI",(Datos!L12-Datos!V12)/Datos!V12,(Datos!L12+Datos!AB12-(Datos!V12+Datos!AJ12))/(Datos!V12+Datos!AJ12))," - ")</f>
        <v>-0.25060357315306614</v>
      </c>
      <c r="F12" s="455">
        <f>IF(ISNUMBER((Datos!M12-Datos!W12)/Datos!W12),(Datos!M12-Datos!W12)/Datos!W12," - ")</f>
        <v>0.30357142857142855</v>
      </c>
      <c r="G12" s="456">
        <f>IF(ISNUMBER((Datos!N12-Datos!X12)/Datos!X12),(Datos!N12-Datos!X12)/Datos!X12," - ")</f>
        <v>0.45535714285714285</v>
      </c>
      <c r="H12" s="454">
        <f>IF(ISNUMBER(((NºAsuntos!G12/NºAsuntos!E12)-Datos!BD12)/Datos!BD12),((NºAsuntos!G12/NºAsuntos!E12)-Datos!BD12)/Datos!BD12," - ")</f>
        <v>1.0345107788534182</v>
      </c>
      <c r="I12" s="455">
        <f>IF(ISNUMBER(((NºAsuntos!I12/NºAsuntos!G12)-Datos!BE12)/Datos!BE12),((NºAsuntos!I12/NºAsuntos!G12)-Datos!BE12)/Datos!BE12," - ")</f>
        <v>-0.46372044738564822</v>
      </c>
      <c r="J12" s="460">
        <f>IF(ISNUMBER((('Resol  Asuntos'!D12/NºAsuntos!G12)-Datos!BF12)/Datos!BF12),(('Resol  Asuntos'!D12/NºAsuntos!G12)-Datos!BF12)/Datos!BF12," - ")</f>
        <v>-0.30035825084946077</v>
      </c>
      <c r="K12" s="461">
        <f>IF(ISNUMBER((((NºAsuntos!C12+NºAsuntos!E12)/NºAsuntos!G12)-Datos!BG12)/Datos!BG12),(((NºAsuntos!C12+NºAsuntos!E12)/NºAsuntos!G12)-Datos!BG12)/Datos!BG12," - ")</f>
        <v>-0.26662014453806399</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0.10835913312693499</v>
      </c>
      <c r="C13" s="854">
        <f>IF(ISNUMBER(
   IF(J_V="SI",(Datos!J13-Datos!T13)/Datos!T13,(Datos!J13+Datos!Z13-(Datos!T13+Datos!AH13))/(Datos!T13+Datos!AH13))
     ),IF(J_V="SI",(Datos!J13-Datos!T13)/Datos!T13,(Datos!J13+Datos!Z13-(Datos!T13+Datos!AH13))/(Datos!T13+Datos!AH13))," - ")</f>
        <v>-0.31315240083507306</v>
      </c>
      <c r="D13" s="854">
        <f>IF(ISNUMBER(
   IF(J_V="SI",(Datos!K13-Datos!U13)/Datos!U13,(Datos!K13+Datos!AA13-(Datos!U13+Datos!AI13))/(Datos!U13+Datos!AI13))
     ),IF(J_V="SI",(Datos!K13-Datos!U13)/Datos!U13,(Datos!K13+Datos!AA13-(Datos!U13+Datos!AI13))/(Datos!U13+Datos!AI13))," - ")</f>
        <v>0.39739884393063585</v>
      </c>
      <c r="E13" s="854">
        <f>IF(ISNUMBER(
   IF(J_V="SI",(Datos!L13-Datos!V13)/Datos!V13,(Datos!L13+Datos!AB13-(Datos!V13+Datos!AJ13))/(Datos!V13+Datos!AJ13))
     ),IF(J_V="SI",(Datos!L13-Datos!V13)/Datos!V13,(Datos!L13+Datos!AB13-(Datos!V13+Datos!AJ13))/(Datos!V13+Datos!AJ13))," - ")</f>
        <v>-0.25060357315306614</v>
      </c>
      <c r="F13" s="855">
        <f>IF(ISNUMBER((Datos!M13-Datos!W13)/Datos!W13),(Datos!M13-Datos!W13)/Datos!W13," - ")</f>
        <v>0.30357142857142855</v>
      </c>
      <c r="G13" s="856">
        <f>IF(ISNUMBER((Datos!N13-Datos!X13)/Datos!X13),(Datos!N13-Datos!X13)/Datos!X13," - ")</f>
        <v>0.45535714285714285</v>
      </c>
      <c r="H13" s="856">
        <f>IF(ISNUMBER(((NºAsuntos!G13/NºAsuntos!E13)-Datos!BD13)/Datos!BD13),((NºAsuntos!G13/NºAsuntos!E13)-Datos!BD13)/Datos!BD13," - ")</f>
        <v>1.0345107788534182</v>
      </c>
      <c r="I13" s="856">
        <f>IF(ISNUMBER(((NºAsuntos!I13/NºAsuntos!G13)-Datos!BE13)/Datos!BE13),((NºAsuntos!I13/NºAsuntos!G13)-Datos!BE13)/Datos!BE13," - ")</f>
        <v>-0.46372044738564822</v>
      </c>
      <c r="J13" s="856">
        <f>IF(ISNUMBER((('Resol  Asuntos'!D13/NºAsuntos!G13)-Datos!BF13)/Datos!BF13),(('Resol  Asuntos'!D13/NºAsuntos!G13)-Datos!BF13)/Datos!BF13," - ")</f>
        <v>-0.30035825084946077</v>
      </c>
      <c r="K13" s="856">
        <f>IF(ISNUMBER((((NºAsuntos!C13+NºAsuntos!E13)/NºAsuntos!G13)-Datos!BG13)/Datos!BG13),(((NºAsuntos!C13+NºAsuntos!E13)/NºAsuntos!G13)-Datos!BG13)/Datos!BG13," - ")</f>
        <v>-0.26662014453806399</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6.2917063870352716E-2</v>
      </c>
      <c r="C16" s="455">
        <f>IF(ISNUMBER(
   IF(D_I="SI",(Datos!J16-Datos!T16)/Datos!T16,(Datos!J16+Datos!AD16-(Datos!T16+Datos!AL16))/(Datos!T16+Datos!AL16))
     ),IF(D_I="SI",(Datos!J16-Datos!T16)/Datos!T16,(Datos!J16+Datos!AD16-(Datos!T16+Datos!AL16))/(Datos!T16+Datos!AL16))," - ")</f>
        <v>-0.24078947368421053</v>
      </c>
      <c r="D16" s="455">
        <f>IF(ISNUMBER(
   IF(D_I="SI",(Datos!K16-Datos!U16)/Datos!U16,(Datos!K16+Datos!AE16-(Datos!U16+Datos!AM16))/(Datos!U16+Datos!AM16))
     ),IF(D_I="SI",(Datos!K16-Datos!U16)/Datos!U16,(Datos!K16+Datos!AE16-(Datos!U16+Datos!AM16))/(Datos!U16+Datos!AM16))," - ")</f>
        <v>-0.45854271356783921</v>
      </c>
      <c r="E16" s="455">
        <f>IF(ISNUMBER(
   IF(D_I="SI",(Datos!L16-Datos!V16)/Datos!V16,(Datos!L16+Datos!AF16-(Datos!V16+Datos!AN16))/(Datos!V16+Datos!AN16))
     ),IF(D_I="SI",(Datos!L16-Datos!V16)/Datos!V16,(Datos!L16+Datos!AF16-(Datos!V16+Datos!AN16))/(Datos!V16+Datos!AN16))," - ")</f>
        <v>3.3816425120772944E-2</v>
      </c>
      <c r="F16" s="455">
        <f>IF(ISNUMBER((Datos!M16-Datos!W16)/Datos!W16),(Datos!M16-Datos!W16)/Datos!W16," - ")</f>
        <v>-0.41025641025641024</v>
      </c>
      <c r="G16" s="456">
        <f>IF(ISNUMBER((Datos!N16-Datos!X16)/Datos!X16),(Datos!N16-Datos!X16)/Datos!X16," - ")</f>
        <v>-0.37388724035608306</v>
      </c>
      <c r="H16" s="454">
        <f>IF(ISNUMBER(((NºAsuntos!G16/NºAsuntos!E16)-Datos!BD16)/Datos!BD16),((NºAsuntos!G16/NºAsuntos!E16)-Datos!BD16)/Datos!BD16," - ")</f>
        <v>-0.28681535929212781</v>
      </c>
      <c r="I16" s="455">
        <f>IF(ISNUMBER(((NºAsuntos!I16/NºAsuntos!G16)-Datos!BE16)/Datos!BE16),((NºAsuntos!I16/NºAsuntos!G16)-Datos!BE16)/Datos!BE16," - ")</f>
        <v>0.9093222143761841</v>
      </c>
      <c r="J16" s="460">
        <f>IF(ISNUMBER((('Resol  Asuntos'!D16/NºAsuntos!G16)-Datos!BF16)/Datos!BF16),(('Resol  Asuntos'!D16/NºAsuntos!G16)-Datos!BF16)/Datos!BF16," - ")</f>
        <v>8.9178416324587895E-2</v>
      </c>
      <c r="K16" s="461">
        <f>IF(ISNUMBER((((NºAsuntos!C16+NºAsuntos!E16)/NºAsuntos!G16)-Datos!BG16)/Datos!BG16),(((NºAsuntos!C16+NºAsuntos!E16)/NºAsuntos!G16)-Datos!BG16)/Datos!BG16," - ")</f>
        <v>0.81391104710350237</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-0.83333333333333337</v>
      </c>
      <c r="C17" s="455" t="str">
        <f>IF(ISNUMBER(
   IF(D_I="SI",(Datos!J17-Datos!T17)/Datos!T17,(Datos!J17+Datos!AD17-(Datos!T17+Datos!AL17))/(Datos!T17+Datos!AL17))
     ),IF(D_I="SI",(Datos!J17-Datos!T17)/Datos!T17,(Datos!J17+Datos!AD17-(Datos!T17+Datos!AL17))/(Datos!T17+Datos!AL17))," - ")</f>
        <v xml:space="preserve"> - </v>
      </c>
      <c r="D17" s="455">
        <f>IF(ISNUMBER(
   IF(D_I="SI",(Datos!K17-Datos!U17)/Datos!U17,(Datos!K17+Datos!AE17-(Datos!U17+Datos!AM17))/(Datos!U17+Datos!AM17))
     ),IF(D_I="SI",(Datos!K17-Datos!U17)/Datos!U17,(Datos!K17+Datos!AE17-(Datos!U17+Datos!AM17))/(Datos!U17+Datos!AM17))," - ")</f>
        <v>-1</v>
      </c>
      <c r="E17" s="455">
        <f>IF(ISNUMBER(
   IF(D_I="SI",(Datos!L17-Datos!V17)/Datos!V17,(Datos!L17+Datos!AF17-(Datos!V17+Datos!AN17))/(Datos!V17+Datos!AN17))
     ),IF(D_I="SI",(Datos!L17-Datos!V17)/Datos!V17,(Datos!L17+Datos!AF17-(Datos!V17+Datos!AN17))/(Datos!V17+Datos!AN17))," - ")</f>
        <v>-0.8125</v>
      </c>
      <c r="F17" s="455" t="str">
        <f>IF(ISNUMBER((Datos!M17-Datos!W17)/Datos!W17),(Datos!M17-Datos!W17)/Datos!W17," - ")</f>
        <v xml:space="preserve"> - </v>
      </c>
      <c r="G17" s="456" t="str">
        <f>IF(ISNUMBER((Datos!N17-Datos!X17)/Datos!X17),(Datos!N17-Datos!X17)/Datos!X17," - ")</f>
        <v xml:space="preserve"> - </v>
      </c>
      <c r="H17" s="454" t="str">
        <f>IF(ISNUMBER(((NºAsuntos!G17/NºAsuntos!E17)-Datos!BD17)/Datos!BD17),((NºAsuntos!G17/NºAsuntos!E17)-Datos!BD17)/Datos!BD17," - ")</f>
        <v xml:space="preserve"> - </v>
      </c>
      <c r="I17" s="455" t="str">
        <f>IF(ISNUMBER(((NºAsuntos!I17/NºAsuntos!G17)-Datos!BE17)/Datos!BE17),((NºAsuntos!I17/NºAsuntos!G17)-Datos!BE17)/Datos!BE17," - ")</f>
        <v xml:space="preserve"> - </v>
      </c>
      <c r="J17" s="460" t="str">
        <f>IF(ISNUMBER((('Resol  Asuntos'!D17/NºAsuntos!G17)-Datos!BF17)/Datos!BF17),(('Resol  Asuntos'!D17/NºAsuntos!G17)-Datos!BF17)/Datos!BF17," - ")</f>
        <v xml:space="preserve"> - </v>
      </c>
      <c r="K17" s="461" t="str">
        <f>IF(ISNUMBER((((NºAsuntos!C17+NºAsuntos!E17)/NºAsuntos!G17)-Datos!BG17)/Datos!BG17),(((NºAsuntos!C17+NºAsuntos!E17)/NºAsuntos!G17)-Datos!BG17)/Datos!BG17," - ")</f>
        <v xml:space="preserve"> - </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5.5293005671077505E-2</v>
      </c>
      <c r="C18" s="854">
        <f>IF(ISNUMBER(
   IF(Criterios!B14="SI",(Datos!J18-Datos!T18)/Datos!T18,(Datos!J18+Datos!AD18-(Datos!T18+Datos!AL18))/(Datos!T18+Datos!AL18))
     ),IF(Criterios!B14="SI",(Datos!J18-Datos!T18)/Datos!T18,(Datos!J18+Datos!AD18-(Datos!T18+Datos!AL18))/(Datos!T18+Datos!AL18))," - ")</f>
        <v>-0.24078947368421053</v>
      </c>
      <c r="D18" s="854">
        <f>IF(ISNUMBER(
   IF(Criterios!B14="SI",(Datos!K18-Datos!U18)/Datos!U18,(Datos!K18+Datos!AE18-(Datos!U18+Datos!AM18))/(Datos!U18+Datos!AM18))
     ),IF(Criterios!B14="SI",(Datos!K18-Datos!U18)/Datos!U18,(Datos!K18+Datos!AE18-(Datos!U18+Datos!AM18))/(Datos!U18+Datos!AM18))," - ")</f>
        <v>-0.45989974937343359</v>
      </c>
      <c r="E18" s="854">
        <f>IF(ISNUMBER(
   IF(Criterios!B14="SI",(Datos!L18-Datos!V18)/Datos!V18,(Datos!L18+Datos!AF18-(Datos!V18+Datos!AN18))/(Datos!V18+Datos!AN18))
     ),IF(Criterios!B14="SI",(Datos!L18-Datos!V18)/Datos!V18,(Datos!L18+Datos!AF18-(Datos!V18+Datos!AN18))/(Datos!V18+Datos!AN18))," - ")</f>
        <v>2.7325023969319271E-2</v>
      </c>
      <c r="F18" s="855">
        <f>IF(ISNUMBER((Datos!M18-Datos!W18)/Datos!W18),(Datos!M18-Datos!W18)/Datos!W18," - ")</f>
        <v>-0.41025641025641024</v>
      </c>
      <c r="G18" s="856">
        <f>IF(ISNUMBER((Datos!N18-Datos!X18)/Datos!X18),(Datos!N18-Datos!X18)/Datos!X18," - ")</f>
        <v>-0.37388724035608306</v>
      </c>
      <c r="H18" s="856">
        <f>IF(ISNUMBER(((NºAsuntos!G18/NºAsuntos!E18)-Datos!BD18)/Datos!BD18),((NºAsuntos!G18/NºAsuntos!E18)-Datos!BD18)/Datos!BD18," - ")</f>
        <v>-0.28860278946934059</v>
      </c>
      <c r="I18" s="856">
        <f>IF(ISNUMBER(((NºAsuntos!I18/NºAsuntos!G18)-Datos!BE18)/Datos!BE18),((NºAsuntos!I18/NºAsuntos!G18)-Datos!BE18)/Datos!BE18," - ")</f>
        <v>0.90210062442579275</v>
      </c>
      <c r="J18" s="856">
        <f>IF(ISNUMBER((('Resol  Asuntos'!D18/NºAsuntos!G18)-Datos!BF18)/Datos!BF18),(('Resol  Asuntos'!D18/NºAsuntos!G18)-Datos!BF18)/Datos!BF18," - ")</f>
        <v>9.1915045511333171E-2</v>
      </c>
      <c r="K18" s="856">
        <f>IF(ISNUMBER((((NºAsuntos!C18+NºAsuntos!E18)/NºAsuntos!G18)-Datos!BG18)/Datos!BG18),(((NºAsuntos!C18+NºAsuntos!E18)/NºAsuntos!G18)-Datos!BG18)/Datos!BG18," - ")</f>
        <v>0.80901871315212881</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8.961949265687584E-2</v>
      </c>
      <c r="C19" s="801">
        <f>IF(ISNUMBER(
   IF(J_V="SI",(Datos!J19-Datos!T19)/Datos!T19,(Datos!J19+Datos!Z19-(Datos!T19+Datos!AH19))/(Datos!T19+Datos!AH19))
     ),IF(J_V="SI",(Datos!J19-Datos!T19)/Datos!T19,(Datos!J19+Datos!Z19-(Datos!T19+Datos!AH19))/(Datos!T19+Datos!AH19))," - ")</f>
        <v>-0.28114086146682188</v>
      </c>
      <c r="D19" s="801">
        <f>IF(ISNUMBER(
   IF(J_V="SI",(Datos!K19-Datos!U19)/Datos!U19,(Datos!K19+Datos!AA19-(Datos!U19+Datos!AI19))/(Datos!U19+Datos!AI19))
     ),IF(J_V="SI",(Datos!K19-Datos!U19)/Datos!U19,(Datos!K19+Datos!AA19-(Datos!U19+Datos!AI19))/(Datos!U19+Datos!AI19))," - ")</f>
        <v>-6.174496644295302E-2</v>
      </c>
      <c r="E19" s="801">
        <f>IF(ISNUMBER(
   IF(J_V="SI",(Datos!L19-Datos!V19)/Datos!V19,(Datos!L19+Datos!AB19-(Datos!V19+Datos!AJ19))/(Datos!V19+Datos!AJ19))
     ),IF(J_V="SI",(Datos!L19-Datos!V19)/Datos!V19,(Datos!L19+Datos!AB19-(Datos!V19+Datos!AJ19))/(Datos!V19+Datos!AJ19))," - ")</f>
        <v>-0.15751445086705201</v>
      </c>
      <c r="F19" s="802">
        <f>IF(ISNUMBER((Datos!M19-Datos!W19)/Datos!W19),(Datos!M19-Datos!W19)/Datos!W19," - ")</f>
        <v>-7.9889807162534437E-2</v>
      </c>
      <c r="G19" s="803">
        <f>IF(ISNUMBER((Datos!N19-Datos!X19)/Datos!X19),(Datos!N19-Datos!X19)/Datos!X19," - ")</f>
        <v>-4.2780748663101602E-2</v>
      </c>
      <c r="H19" s="804">
        <f>IF(ISNUMBER((Tasas!B19-Datos!BD19)/Datos!BD19),(Tasas!B19-Datos!BD19)/Datos!BD19," - ")</f>
        <v>0.30520011955547111</v>
      </c>
      <c r="I19" s="805">
        <f>IF(ISNUMBER((Tasas!C19-Datos!BE19)/Datos!BE19),(Tasas!C19-Datos!BE19)/Datos!BE19," - ")</f>
        <v>-0.10207191115300963</v>
      </c>
      <c r="J19" s="806">
        <f>IF(ISNUMBER((Tasas!D19-Datos!BF19)/Datos!BF19),(Tasas!D19-Datos!BF19)/Datos!BF19," - ")</f>
        <v>-0.15040579621074773</v>
      </c>
      <c r="K19" s="806">
        <f>IF(ISNUMBER((Tasas!E19-Datos!BG19)/Datos!BG19),(Tasas!E19-Datos!BG19)/Datos!BG19," - ")</f>
        <v>7.3273102764928197E-2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17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ZDIYb3tsnkLs9Wn5e1feTusXoYOdch0BxaQ5jvDoAatD5pKLza10gGrP/bjuRP+rdH08uqJt4UB0cWzP0sb3Lw==" saltValue="6uQ9BKceX2K2W3/Ln+Bik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ANDALUCIA</v>
      </c>
    </row>
    <row r="3" spans="1:7" ht="19.5">
      <c r="A3" s="435" t="s">
        <v>12</v>
      </c>
      <c r="B3" s="390" t="str">
        <f>Criterios!A10 &amp;"  "&amp;Criterios!B10</f>
        <v>Provincias  CADIZ</v>
      </c>
    </row>
    <row r="4" spans="1:7" ht="11.25" customHeight="1" thickBot="1">
      <c r="B4" s="390" t="str">
        <f>Criterios!A11 &amp;"  "&amp;Criterios!B11</f>
        <v>Resumenes por Partidos Judiciales  LINEA DE LA CONCEPCION, LA</v>
      </c>
    </row>
    <row r="5" spans="1:7" ht="12.75" customHeight="1">
      <c r="A5" s="1209" t="str">
        <f>"Año:  " &amp;Criterios!B5 &amp; "    Trimestre   " &amp;Criterios!D5 &amp; " al " &amp;Criterios!D6</f>
        <v>Año:  2025    Trimestre   4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t="str">
        <f>IF(ISNUMBER(NºAsuntos!G10/NºAsuntos!E10),NºAsuntos!G10/NºAsuntos!E10," - ")</f>
        <v xml:space="preserve"> - </v>
      </c>
      <c r="C10" s="442" t="str">
        <f>IF(ISNUMBER(NºAsuntos!I10/NºAsuntos!G10),NºAsuntos!I10/NºAsuntos!G10," - ")</f>
        <v xml:space="preserve"> - </v>
      </c>
      <c r="D10" s="443" t="str">
        <f>IF(ISNUMBER('Resol  Asuntos'!D10/NºAsuntos!G10),'Resol  Asuntos'!D10/NºAsuntos!G10," - ")</f>
        <v xml:space="preserve"> - </v>
      </c>
      <c r="E10" s="444" t="str">
        <f>IF(ISNUMBER((NºAsuntos!C10+NºAsuntos!E10)/NºAsuntos!G10),(NºAsuntos!C10+NºAsuntos!E10)/NºAsuntos!G10," - ")</f>
        <v xml:space="preserve"> - </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1.4696048632218845</v>
      </c>
      <c r="C12" s="442">
        <f>IF(ISNUMBER(NºAsuntos!I12/NºAsuntos!G12),NºAsuntos!I12/NºAsuntos!G12," - ")</f>
        <v>3.2099276111685624</v>
      </c>
      <c r="D12" s="443">
        <f>IF(ISNUMBER('Resol  Asuntos'!D12/NºAsuntos!G12),'Resol  Asuntos'!D12/NºAsuntos!G12," - ")</f>
        <v>0.2264736297828335</v>
      </c>
      <c r="E12" s="444">
        <f>IF(ISNUMBER((NºAsuntos!C12+NºAsuntos!E12)/NºAsuntos!G12),(NºAsuntos!C12+NºAsuntos!E12)/NºAsuntos!G12," - ")</f>
        <v>5.1230610134436398</v>
      </c>
      <c r="G12" s="462"/>
    </row>
    <row r="13" spans="1:7" ht="14.25" thickTop="1" thickBot="1">
      <c r="A13" s="847" t="str">
        <f>Datos!A13</f>
        <v>TOTAL</v>
      </c>
      <c r="B13" s="857">
        <f>IF(ISNUMBER(NºAsuntos!G13/NºAsuntos!E13),NºAsuntos!G13/NºAsuntos!E13," - ")</f>
        <v>1.4696048632218845</v>
      </c>
      <c r="C13" s="858">
        <f>IF(ISNUMBER(NºAsuntos!I13/NºAsuntos!G13),NºAsuntos!I13/NºAsuntos!G13," - ")</f>
        <v>3.2099276111685624</v>
      </c>
      <c r="D13" s="859">
        <f>IF(ISNUMBER('Resol  Asuntos'!D13/NºAsuntos!G13),'Resol  Asuntos'!D13/NºAsuntos!G13," - ")</f>
        <v>0.2264736297828335</v>
      </c>
      <c r="E13" s="860">
        <f>IF(ISNUMBER((NºAsuntos!C13+NºAsuntos!E13)/NºAsuntos!G13),(NºAsuntos!C13+NºAsuntos!E13)/NºAsuntos!G13," - ")</f>
        <v>5.1230610134436398</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0.7469670710571924</v>
      </c>
      <c r="C16" s="442">
        <f>IF(ISNUMBER(NºAsuntos!I16/NºAsuntos!G16),NºAsuntos!I16/NºAsuntos!G16," - ")</f>
        <v>4.9651972157772626</v>
      </c>
      <c r="D16" s="443">
        <f>IF(ISNUMBER('Resol  Asuntos'!D16/NºAsuntos!G16),'Resol  Asuntos'!D16/NºAsuntos!G16," - ")</f>
        <v>0.26682134570765659</v>
      </c>
      <c r="E16" s="444">
        <f>IF(ISNUMBER((NºAsuntos!C16+NºAsuntos!E16)/NºAsuntos!G16),(NºAsuntos!C16+NºAsuntos!E16)/NºAsuntos!G16," - ")</f>
        <v>6.5127610208816709</v>
      </c>
      <c r="G16" s="462"/>
    </row>
    <row r="17" spans="1:7" ht="21.75" thickBot="1">
      <c r="A17" s="401" t="str">
        <f>Datos!A17</f>
        <v>Jdos. Violencia contra la mujer/Secc Viol. TI.</v>
      </c>
      <c r="B17" s="441" t="str">
        <f>IF(ISNUMBER(NºAsuntos!G17/NºAsuntos!E17),NºAsuntos!G17/NºAsuntos!E17," - ")</f>
        <v xml:space="preserve"> - </v>
      </c>
      <c r="C17" s="442" t="str">
        <f>IF(ISNUMBER(NºAsuntos!I17/NºAsuntos!G17),NºAsuntos!I17/NºAsuntos!G17," - ")</f>
        <v xml:space="preserve"> - </v>
      </c>
      <c r="D17" s="443" t="str">
        <f>IF(ISNUMBER('Resol  Asuntos'!D17/NºAsuntos!G17),'Resol  Asuntos'!D17/NºAsuntos!G17," - ")</f>
        <v xml:space="preserve"> - </v>
      </c>
      <c r="E17" s="444" t="str">
        <f>IF(ISNUMBER((NºAsuntos!C17+NºAsuntos!E17)/NºAsuntos!G17),(NºAsuntos!C17+NºAsuntos!E17)/NºAsuntos!G17," - ")</f>
        <v xml:space="preserve"> - </v>
      </c>
      <c r="G17" s="462"/>
    </row>
    <row r="18" spans="1:7" ht="14.25" thickTop="1" thickBot="1">
      <c r="A18" s="847" t="str">
        <f>Datos!A18</f>
        <v>TOTAL</v>
      </c>
      <c r="B18" s="857">
        <f>IF(ISNUMBER(NºAsuntos!G18/NºAsuntos!E18),NºAsuntos!G18/NºAsuntos!E18," - ")</f>
        <v>0.7469670710571924</v>
      </c>
      <c r="C18" s="858">
        <f>IF(ISNUMBER(NºAsuntos!I18/NºAsuntos!G18),NºAsuntos!I18/NºAsuntos!G18," - ")</f>
        <v>4.9721577726218094</v>
      </c>
      <c r="D18" s="861">
        <f>IF(ISNUMBER('Resol  Asuntos'!D18/NºAsuntos!G18),'Resol  Asuntos'!D18/NºAsuntos!G18," - ")</f>
        <v>0.26682134570765659</v>
      </c>
      <c r="E18" s="860">
        <f>IF(ISNUMBER((NºAsuntos!C18+NºAsuntos!E18)/NºAsuntos!G18),(NºAsuntos!C18+NºAsuntos!E18)/NºAsuntos!G18," - ")</f>
        <v>6.5197215777262185</v>
      </c>
      <c r="G18" s="462"/>
    </row>
    <row r="19" spans="1:7" ht="15.75" customHeight="1" thickTop="1" thickBot="1">
      <c r="A19" s="792" t="str">
        <f>Datos!A19</f>
        <v>TOTAL JURISDICCIONES</v>
      </c>
      <c r="B19" s="807">
        <f>IF(ISNUMBER(NºAsuntos!G19/NºAsuntos!E19),NºAsuntos!G19/NºAsuntos!E19," - ")</f>
        <v>1.1319838056680163</v>
      </c>
      <c r="C19" s="808">
        <f>IF(ISNUMBER(NºAsuntos!I19/NºAsuntos!G19),NºAsuntos!I19/NºAsuntos!G19," - ")</f>
        <v>3.7532188841201717</v>
      </c>
      <c r="D19" s="809">
        <f>IF(ISNUMBER('Resol  Asuntos'!D19/NºAsuntos!G19),'Resol  Asuntos'!D19/NºAsuntos!G19," - ")</f>
        <v>0.23891273247496422</v>
      </c>
      <c r="E19" s="810">
        <f>IF(ISNUMBER((NºAsuntos!C19+NºAsuntos!E19)/NºAsuntos!G19),(NºAsuntos!C19+NºAsuntos!E19)/NºAsuntos!G19," - ")</f>
        <v>5.5536480686695278</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17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BE2hkUg2HpLqmZ9/jy9jnVIIk5QHPItzNMn1OQX4+h0/Prk+ffgTJ8VKiR0woyOKDyg2yhY49cZde5b0w7X3hQ==" saltValue="8+HTeCm2G6UXqSDO1s+OO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ANDALUCIA</v>
      </c>
      <c r="G2" s="262"/>
      <c r="H2" s="261"/>
      <c r="I2" s="261"/>
      <c r="J2" s="261"/>
      <c r="K2" s="261"/>
      <c r="L2" s="261" t="str">
        <f>Criterios!A10 &amp;"  "&amp;Criterios!B10</f>
        <v>Provincias  CADIZ</v>
      </c>
      <c r="N2" s="261" t="str">
        <f>Criterios!A11 &amp;"  "&amp;Criterios!B11</f>
        <v>Resumenes por Partidos Judiciales  LINEA DE LA CONCEPCION, LA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4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0</v>
      </c>
      <c r="G10" s="332">
        <f>IF(ISNUMBER(Datos!I10),Datos!I10," - ")</f>
        <v>0</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0</v>
      </c>
      <c r="X10" s="225">
        <f>IF(ISNUMBER(Datos!Q10),Datos!Q10," - ")</f>
        <v>0</v>
      </c>
      <c r="Y10" s="333">
        <f t="shared" ref="Y10:Y12" si="0">SUM(W10:X10)</f>
        <v>0</v>
      </c>
      <c r="Z10" s="334" t="str">
        <f>IF(ISNUMBER(Datos!CC10),Datos!CC10," - ")</f>
        <v xml:space="preserve"> - </v>
      </c>
      <c r="AA10" s="331">
        <f>IF(ISNUMBER(Datos!L10),Datos!L10,"-")</f>
        <v>0</v>
      </c>
      <c r="AB10" s="333">
        <f>IF(ISNUMBER(Datos!R10),Datos!R10," - ")</f>
        <v>0</v>
      </c>
      <c r="AC10" s="333">
        <f t="shared" ref="AC10:AC12" si="1">IF(ISNUMBER(AA10+AB10),AA10+AB10," - ")</f>
        <v>0</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0</v>
      </c>
      <c r="AJ10" s="230" t="str">
        <f>IF(ISNUMBER(Datos!BW10),Datos!BW10," - ")</f>
        <v xml:space="preserve"> - </v>
      </c>
      <c r="AK10" s="231" t="str">
        <f>IF(ISNUMBER(Datos!BX10),Datos!BX10," - ")</f>
        <v xml:space="preserve"> - </v>
      </c>
      <c r="AL10" s="242" t="str">
        <f>IF(ISNUMBER(NºAsuntos!G10/NºAsuntos!E10),NºAsuntos!G10/NºAsuntos!E10," - ")</f>
        <v xml:space="preserve"> - </v>
      </c>
      <c r="AM10" s="259" t="str">
        <f>IF(ISNUMBER(((NºAsuntos!I10/NºAsuntos!G10)*11)/factor_trimestre),((NºAsuntos!I10/NºAsuntos!G10)*11)/factor_trimestre," - ")</f>
        <v xml:space="preserve"> - </v>
      </c>
      <c r="AN10" s="243" t="str">
        <f>IF(ISNUMBER('Resol  Asuntos'!D10/NºAsuntos!G10),'Resol  Asuntos'!D10/NºAsuntos!G10," - ")</f>
        <v xml:space="preserve"> - </v>
      </c>
      <c r="AO10" s="244" t="str">
        <f>IF(ISNUMBER((NºAsuntos!C10+NºAsuntos!E10)/NºAsuntos!G10),(NºAsuntos!C10+NºAsuntos!E10)/NºAsuntos!G10," - ")</f>
        <v xml:space="preserve"> - </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5</v>
      </c>
      <c r="B12" s="274" t="s">
        <v>246</v>
      </c>
      <c r="C12" s="7" t="str">
        <f>Datos!A12</f>
        <v xml:space="preserve">Jdos. 1ª Instª. e Instr./Secc. Civil y de Inst. TI                      </v>
      </c>
      <c r="D12" s="7"/>
      <c r="E12" s="1024">
        <f>IF(ISNUMBER(Datos!AQ12),Datos!AQ12," - ")</f>
        <v>5</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250</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48</v>
      </c>
      <c r="Y12" s="333">
        <f t="shared" si="0"/>
        <v>48</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3763</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219</v>
      </c>
      <c r="AJ12" s="228" t="str">
        <f>IF(ISNUMBER(Datos!BW12),Datos!BW12," - ")</f>
        <v xml:space="preserve"> - </v>
      </c>
      <c r="AK12" s="227" t="str">
        <f>IF(ISNUMBER(Datos!BX12),Datos!BX12," - ")</f>
        <v xml:space="preserve"> - </v>
      </c>
      <c r="AL12" s="242">
        <f>IF(ISNUMBER(NºAsuntos!G12/NºAsuntos!E12),NºAsuntos!G12/NºAsuntos!E12," - ")</f>
        <v>1.4696048632218845</v>
      </c>
      <c r="AM12" s="259">
        <f>IF(ISNUMBER(((NºAsuntos!I12/NºAsuntos!G12)*11)/factor_trimestre),((NºAsuntos!I12/NºAsuntos!G12)*11)/factor_trimestre," - ")</f>
        <v>9.6297828335056881</v>
      </c>
      <c r="AN12" s="243">
        <f>IF(ISNUMBER('Resol  Asuntos'!D12/NºAsuntos!G12),'Resol  Asuntos'!D12/NºAsuntos!G12," - ")</f>
        <v>0.2264736297828335</v>
      </c>
      <c r="AO12" s="244">
        <f>IF(ISNUMBER((NºAsuntos!C12+NºAsuntos!E12)/NºAsuntos!G12),(NºAsuntos!C12+NºAsuntos!E12)/NºAsuntos!G12," - ")</f>
        <v>5.1230610134436398</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5</v>
      </c>
      <c r="F13" s="864">
        <f t="shared" si="3"/>
        <v>0</v>
      </c>
      <c r="G13" s="865">
        <f t="shared" si="3"/>
        <v>0</v>
      </c>
      <c r="H13" s="864">
        <f t="shared" si="3"/>
        <v>0</v>
      </c>
      <c r="I13" s="866">
        <f t="shared" si="3"/>
        <v>0</v>
      </c>
      <c r="J13" s="866">
        <f t="shared" si="3"/>
        <v>0</v>
      </c>
      <c r="K13" s="866">
        <f t="shared" si="3"/>
        <v>0</v>
      </c>
      <c r="L13" s="866">
        <f t="shared" si="3"/>
        <v>250</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0</v>
      </c>
      <c r="X13" s="866">
        <f t="shared" si="4"/>
        <v>48</v>
      </c>
      <c r="Y13" s="867">
        <f t="shared" si="4"/>
        <v>48</v>
      </c>
      <c r="Z13" s="867">
        <f t="shared" si="4"/>
        <v>0</v>
      </c>
      <c r="AA13" s="867">
        <f t="shared" si="4"/>
        <v>0</v>
      </c>
      <c r="AB13" s="867">
        <f t="shared" si="4"/>
        <v>3763</v>
      </c>
      <c r="AC13" s="867">
        <f t="shared" si="4"/>
        <v>0</v>
      </c>
      <c r="AD13" s="867">
        <f t="shared" si="4"/>
        <v>0</v>
      </c>
      <c r="AE13" s="871">
        <f t="shared" si="4"/>
        <v>0</v>
      </c>
      <c r="AF13" s="864">
        <f t="shared" si="4"/>
        <v>0</v>
      </c>
      <c r="AG13" s="872">
        <f t="shared" si="4"/>
        <v>0</v>
      </c>
      <c r="AH13" s="869">
        <f t="shared" si="4"/>
        <v>0</v>
      </c>
      <c r="AI13" s="864">
        <f t="shared" si="4"/>
        <v>219</v>
      </c>
      <c r="AJ13" s="866">
        <f t="shared" si="4"/>
        <v>0</v>
      </c>
      <c r="AK13" s="869">
        <f>SUBTOTAL(9,AK9:AK12)</f>
        <v>0</v>
      </c>
      <c r="AL13" s="873">
        <f>IF(ISNUMBER(NºAsuntos!G13/NºAsuntos!E13),NºAsuntos!G13/NºAsuntos!E13," - ")</f>
        <v>1.4696048632218845</v>
      </c>
      <c r="AM13" s="873">
        <f>IF(ISNUMBER(((NºAsuntos!I13/NºAsuntos!G13)*11)/factor_trimestre),((NºAsuntos!I13/NºAsuntos!G13)*11)/factor_trimestre," - ")</f>
        <v>9.6297828335056881</v>
      </c>
      <c r="AN13" s="874">
        <f>IF(ISNUMBER('Resol  Asuntos'!D13/NºAsuntos!G13),'Resol  Asuntos'!D13/NºAsuntos!G13," - ")</f>
        <v>0.2264736297828335</v>
      </c>
      <c r="AO13" s="875">
        <f>IF(ISNUMBER((NºAsuntos!C13+NºAsuntos!E13)/NºAsuntos!G13),(NºAsuntos!C13+NºAsuntos!E13)/NºAsuntos!G13," - ")</f>
        <v>5.1230610134436398</v>
      </c>
      <c r="AP13" s="876" t="str">
        <f t="shared" si="2"/>
        <v xml:space="preserve"> - </v>
      </c>
      <c r="AQ13" s="876" t="str">
        <f>IF(ISNUMBER((H13-W13+K13)/(F13)),(H13-W13+K13)/(F13)," - ")</f>
        <v xml:space="preserve"> - </v>
      </c>
      <c r="AR13" s="877">
        <f>IF(ISNUMBER((Datos!P13-Datos!Q13)/(Datos!R13-Datos!P13+Datos!Q13)),(Datos!P13-Datos!Q13)/(Datos!R13-Datos!P13+Datos!Q13)," - ")</f>
        <v>5.6725638865487225E-2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5</v>
      </c>
      <c r="B16" s="274" t="s">
        <v>396</v>
      </c>
      <c r="C16" s="159" t="str">
        <f>Datos!A16</f>
        <v xml:space="preserve">Jdos. 1ª Instª. e Instr./Secc. Civil y de Inst. TI                      </v>
      </c>
      <c r="D16" s="159"/>
      <c r="E16" s="1024">
        <f>IF(ISNUMBER(Datos!AQ16),Datos!AQ16," - ")</f>
        <v>5</v>
      </c>
      <c r="F16" s="224">
        <f>IF(ISNUMBER(AA16+W16-Datos!J16-K16),AA16+W16-Datos!J16-K16," - ")</f>
        <v>1994</v>
      </c>
      <c r="G16" s="332">
        <f>IF(ISNUMBER(IF(D_I="SI",Datos!I16,Datos!I16+Datos!AC16)),IF(D_I="SI",Datos!I16,Datos!I16+Datos!AC16)," - ")</f>
        <v>2230</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28</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431</v>
      </c>
      <c r="X16" s="225">
        <f>IF(ISNUMBER(Datos!Q16),Datos!Q16," - ")</f>
        <v>37</v>
      </c>
      <c r="Y16" s="333">
        <f t="shared" ref="Y16:Y17" si="7">SUM(W16:X16)</f>
        <v>468</v>
      </c>
      <c r="Z16" s="334" t="str">
        <f>IF(ISNUMBER(Datos!CC16),Datos!CC16," - ")</f>
        <v xml:space="preserve"> - </v>
      </c>
      <c r="AA16" s="331">
        <f>IF(ISNUMBER(IF(D_I="SI",Datos!L16,Datos!L16+Datos!AF16)),IF(D_I="SI",Datos!L16,Datos!L16+Datos!AF16)," - ")</f>
        <v>2140</v>
      </c>
      <c r="AB16" s="333">
        <f>IF(ISNUMBER(Datos!R16),Datos!R16," - ")</f>
        <v>187</v>
      </c>
      <c r="AC16" s="333">
        <f t="shared" si="6"/>
        <v>2327</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115</v>
      </c>
      <c r="AJ16" s="230" t="str">
        <f>IF(ISNUMBER(Datos!BW16),Datos!BW16," - ")</f>
        <v xml:space="preserve"> - </v>
      </c>
      <c r="AK16" s="231" t="str">
        <f>IF(ISNUMBER(Datos!BX16),Datos!BX16," - ")</f>
        <v xml:space="preserve"> - </v>
      </c>
      <c r="AL16" s="242">
        <f>IF(ISNUMBER(NºAsuntos!G16/NºAsuntos!E16),NºAsuntos!G16/NºAsuntos!E16," - ")</f>
        <v>0.7469670710571924</v>
      </c>
      <c r="AM16" s="259">
        <f>IF(ISNUMBER(((NºAsuntos!I16/NºAsuntos!G16)*11)/factor_trimestre),((NºAsuntos!I16/NºAsuntos!G16)*11)/factor_trimestre," - ")</f>
        <v>14.895591647331788</v>
      </c>
      <c r="AN16" s="243">
        <f>IF(ISNUMBER('Resol  Asuntos'!D16/NºAsuntos!G16),'Resol  Asuntos'!D16/NºAsuntos!G16," - ")</f>
        <v>0.26682134570765659</v>
      </c>
      <c r="AO16" s="244">
        <f>IF(ISNUMBER((NºAsuntos!C16+NºAsuntos!E16)/NºAsuntos!G16),(NºAsuntos!C16+NºAsuntos!E16)/NºAsuntos!G16," - ")</f>
        <v>6.5127610208816709</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3</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0</v>
      </c>
      <c r="X17" s="225">
        <f>IF(ISNUMBER(Datos!Q17),Datos!Q17," - ")</f>
        <v>0</v>
      </c>
      <c r="Y17" s="333">
        <f t="shared" si="7"/>
        <v>0</v>
      </c>
      <c r="Z17" s="334" t="str">
        <f>IF(ISNUMBER(Datos!CC17),Datos!CC17," - ")</f>
        <v xml:space="preserve"> - </v>
      </c>
      <c r="AA17" s="331">
        <f>IF(ISNUMBER(Datos!L17),Datos!L17,"-")</f>
        <v>3</v>
      </c>
      <c r="AB17" s="333">
        <f>IF(ISNUMBER(Datos!R17),Datos!R17," - ")</f>
        <v>0</v>
      </c>
      <c r="AC17" s="333">
        <f t="shared" si="6"/>
        <v>3</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0</v>
      </c>
      <c r="AJ17" s="230" t="str">
        <f>IF(ISNUMBER(Datos!BW17),Datos!BW17," - ")</f>
        <v xml:space="preserve"> - </v>
      </c>
      <c r="AK17" s="231" t="str">
        <f>IF(ISNUMBER(Datos!BX17),Datos!BX17," - ")</f>
        <v xml:space="preserve"> - </v>
      </c>
      <c r="AL17" s="242" t="str">
        <f>IF(ISNUMBER(NºAsuntos!G17/NºAsuntos!E17),NºAsuntos!G17/NºAsuntos!E17," - ")</f>
        <v xml:space="preserve"> - </v>
      </c>
      <c r="AM17" s="259" t="str">
        <f>IF(ISNUMBER(((NºAsuntos!I17/NºAsuntos!G17)*11)/factor_trimestre),((NºAsuntos!I17/NºAsuntos!G17)*11)/factor_trimestre," - ")</f>
        <v xml:space="preserve"> - </v>
      </c>
      <c r="AN17" s="243" t="str">
        <f>IF(ISNUMBER('Resol  Asuntos'!D17/NºAsuntos!G17),'Resol  Asuntos'!D17/NºAsuntos!G17," - ")</f>
        <v xml:space="preserve"> - </v>
      </c>
      <c r="AO17" s="244" t="str">
        <f>IF(ISNUMBER((NºAsuntos!C17+NºAsuntos!E17)/NºAsuntos!G17),(NºAsuntos!C17+NºAsuntos!E17)/NºAsuntos!G17," - ")</f>
        <v xml:space="preserve"> - </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5</v>
      </c>
      <c r="F18" s="864">
        <f>SUBTOTAL(9,F14:F17)</f>
        <v>1994</v>
      </c>
      <c r="G18" s="865">
        <f>SUBTOTAL(9,G15:G17)</f>
        <v>2233</v>
      </c>
      <c r="H18" s="864">
        <f t="shared" ref="H18:O18" si="10">SUBTOTAL(9,H14:H17)</f>
        <v>0</v>
      </c>
      <c r="I18" s="866">
        <f t="shared" si="10"/>
        <v>0</v>
      </c>
      <c r="J18" s="866">
        <f t="shared" si="10"/>
        <v>0</v>
      </c>
      <c r="K18" s="866">
        <f t="shared" si="10"/>
        <v>0</v>
      </c>
      <c r="L18" s="866">
        <f t="shared" si="10"/>
        <v>28</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431</v>
      </c>
      <c r="X18" s="866">
        <f t="shared" si="11"/>
        <v>37</v>
      </c>
      <c r="Y18" s="867">
        <f t="shared" si="11"/>
        <v>468</v>
      </c>
      <c r="Z18" s="867">
        <f t="shared" si="11"/>
        <v>0</v>
      </c>
      <c r="AA18" s="867">
        <f t="shared" si="11"/>
        <v>2143</v>
      </c>
      <c r="AB18" s="867">
        <f t="shared" si="11"/>
        <v>187</v>
      </c>
      <c r="AC18" s="867">
        <f t="shared" si="11"/>
        <v>2330</v>
      </c>
      <c r="AD18" s="867">
        <f t="shared" si="11"/>
        <v>0</v>
      </c>
      <c r="AE18" s="871">
        <f t="shared" si="11"/>
        <v>0</v>
      </c>
      <c r="AF18" s="864">
        <f t="shared" si="11"/>
        <v>0</v>
      </c>
      <c r="AG18" s="872">
        <f t="shared" si="11"/>
        <v>0</v>
      </c>
      <c r="AH18" s="869">
        <f t="shared" si="11"/>
        <v>0</v>
      </c>
      <c r="AI18" s="864">
        <f t="shared" si="11"/>
        <v>115</v>
      </c>
      <c r="AJ18" s="866">
        <f t="shared" si="11"/>
        <v>0</v>
      </c>
      <c r="AK18" s="869">
        <f t="shared" si="11"/>
        <v>0</v>
      </c>
      <c r="AL18" s="873">
        <f>IF(ISNUMBER(NºAsuntos!G18/NºAsuntos!E18),NºAsuntos!G18/NºAsuntos!E18," - ")</f>
        <v>0.7469670710571924</v>
      </c>
      <c r="AM18" s="873">
        <f>IF(ISNUMBER(((NºAsuntos!I18/NºAsuntos!G18)*11)/factor_trimestre),((NºAsuntos!I18/NºAsuntos!G18)*11)/factor_trimestre," - ")</f>
        <v>14.916473317865428</v>
      </c>
      <c r="AN18" s="874">
        <f>IF(ISNUMBER('Resol  Asuntos'!D18/NºAsuntos!G18),'Resol  Asuntos'!D18/NºAsuntos!G18," - ")</f>
        <v>0.26682134570765659</v>
      </c>
      <c r="AO18" s="875">
        <f>IF(ISNUMBER((NºAsuntos!C18+NºAsuntos!E18)/NºAsuntos!G18),(NºAsuntos!C18+NºAsuntos!E18)/NºAsuntos!G18," - ")</f>
        <v>6.5197215777262185</v>
      </c>
      <c r="AP18" s="876" t="str">
        <f t="shared" si="2"/>
        <v xml:space="preserve"> - </v>
      </c>
      <c r="AQ18" s="876">
        <f>IF(ISNUMBER((H18-W18+K18)/(F18)),(H18-W18+K18)/(F18)," - ")</f>
        <v>-0.21614844533600802</v>
      </c>
      <c r="AR18" s="877">
        <f>IF(ISNUMBER((Datos!P18-Datos!Q18)/(Datos!R18-Datos!P18+Datos!Q18)),(Datos!P18-Datos!Q18)/(Datos!R18-Datos!P18+Datos!Q18)," - ")</f>
        <v>-4.5918367346938778E-2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10</v>
      </c>
      <c r="F19" s="819">
        <f t="shared" si="13"/>
        <v>1994</v>
      </c>
      <c r="G19" s="820">
        <f t="shared" si="13"/>
        <v>2233</v>
      </c>
      <c r="H19" s="819">
        <f t="shared" si="13"/>
        <v>0</v>
      </c>
      <c r="I19" s="821">
        <f t="shared" si="13"/>
        <v>0</v>
      </c>
      <c r="J19" s="821">
        <f t="shared" si="13"/>
        <v>0</v>
      </c>
      <c r="K19" s="880">
        <f t="shared" si="13"/>
        <v>0</v>
      </c>
      <c r="L19" s="821">
        <f t="shared" si="13"/>
        <v>278</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431</v>
      </c>
      <c r="X19" s="820">
        <f t="shared" si="14"/>
        <v>85</v>
      </c>
      <c r="Y19" s="827">
        <f t="shared" si="14"/>
        <v>516</v>
      </c>
      <c r="Z19" s="827">
        <f t="shared" si="14"/>
        <v>0</v>
      </c>
      <c r="AA19" s="827">
        <f t="shared" si="14"/>
        <v>2143</v>
      </c>
      <c r="AB19" s="827">
        <f t="shared" si="14"/>
        <v>3950</v>
      </c>
      <c r="AC19" s="827">
        <f t="shared" si="14"/>
        <v>2330</v>
      </c>
      <c r="AD19" s="827">
        <f t="shared" si="14"/>
        <v>0</v>
      </c>
      <c r="AE19" s="829">
        <f t="shared" si="14"/>
        <v>0</v>
      </c>
      <c r="AF19" s="830">
        <f t="shared" si="14"/>
        <v>0</v>
      </c>
      <c r="AG19" s="831">
        <f t="shared" si="14"/>
        <v>0</v>
      </c>
      <c r="AH19" s="829">
        <f t="shared" si="14"/>
        <v>0</v>
      </c>
      <c r="AI19" s="819">
        <f t="shared" si="14"/>
        <v>334</v>
      </c>
      <c r="AJ19" s="819">
        <f t="shared" si="14"/>
        <v>0</v>
      </c>
      <c r="AK19" s="829">
        <f t="shared" si="14"/>
        <v>0</v>
      </c>
      <c r="AL19" s="883">
        <f>IF(ISNUMBER(NºAsuntos!G19/NºAsuntos!E19),NºAsuntos!G19/NºAsuntos!E19," - ")</f>
        <v>1.1319838056680163</v>
      </c>
      <c r="AM19" s="884">
        <f>IF(ISNUMBER(((NºAsuntos!I19/NºAsuntos!G19)*11)/factor_trimestre),((NºAsuntos!I19/NºAsuntos!G19)*11)/factor_trimestre," - ")</f>
        <v>11.259656652360515</v>
      </c>
      <c r="AN19" s="884">
        <f>IF(ISNUMBER('Resol  Asuntos'!D19/NºAsuntos!G19),'Resol  Asuntos'!D19/NºAsuntos!G19," - ")</f>
        <v>0.23891273247496422</v>
      </c>
      <c r="AO19" s="885">
        <f>IF(ISNUMBER((NºAsuntos!C19+NºAsuntos!E19)/NºAsuntos!G19),(NºAsuntos!C19+NºAsuntos!E19)/NºAsuntos!G19," - ")</f>
        <v>5.5536480686695278</v>
      </c>
      <c r="AP19" s="886" t="str">
        <f t="shared" si="2"/>
        <v xml:space="preserve"> - </v>
      </c>
      <c r="AQ19" s="887">
        <f>IF(OR(ISNUMBER(FIND("01",Criterios!A8,1)),ISNUMBER(FIND("02",Criterios!A8,1)),ISNUMBER(FIND("03",Criterios!A8,1)),ISNUMBER(FIND("04",Criterios!A8,1))),(I19-W19+K19)/(F19-K19),(H19-W19+K19)/(F19-K19))</f>
        <v>-0.21614844533600802</v>
      </c>
      <c r="AR19" s="888">
        <f>IF(ISNUMBER((Datos!P19-Datos!Q19)/(Datos!R19-Datos!P19+Datos!Q19)),(Datos!P19-Datos!Q19)/(Datos!R19-Datos!P19+Datos!Q19)," - ")</f>
        <v>5.1370774554165555E-2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893.2</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2.6352313834736494</v>
      </c>
      <c r="F21" s="251">
        <f>IF(ISNUMBER(STDEV(F8:F18)),STDEV(F8:F18),"-")</f>
        <v>1151.2364367641137</v>
      </c>
      <c r="G21" s="252">
        <f>IF(ISNUMBER(STDEV(G8:G18)),STDEV(G8:G18),"-")</f>
        <v>1221.696238841718</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236.06842228472661</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97.980950529511944</v>
      </c>
      <c r="AJ21" s="251">
        <f t="shared" si="18"/>
        <v>0</v>
      </c>
      <c r="AK21" s="253">
        <f t="shared" si="18"/>
        <v>0</v>
      </c>
      <c r="AL21" s="248">
        <f t="shared" si="18"/>
        <v>0.41721512383288228</v>
      </c>
      <c r="AM21" s="249">
        <f t="shared" si="18"/>
        <v>3.0462560836560897</v>
      </c>
      <c r="AN21" s="249">
        <f t="shared" si="18"/>
        <v>2.329476465038316E-2</v>
      </c>
      <c r="AO21" s="250">
        <f t="shared" si="18"/>
        <v>0.80435803255050797</v>
      </c>
      <c r="AP21" s="290" t="str">
        <f t="shared" si="18"/>
        <v>-</v>
      </c>
      <c r="AQ21" s="291" t="str">
        <f t="shared" si="18"/>
        <v>-</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17 mar. 2026</v>
      </c>
      <c r="D30" s="120"/>
    </row>
    <row r="32" spans="1:65">
      <c r="C32" s="1"/>
      <c r="D32" s="1"/>
    </row>
  </sheetData>
  <sheetProtection algorithmName="SHA-512" hashValue="+x79nI4rVjAbWdJT5KCB1riJ4e5KegpA1eZohmY9H80dt992KayYUFj2hjwkAGgpQZEd6gkGVsqHPljRRZMr5w==" saltValue="rDb0X3oc0GeyAlic8RmI2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ANDALUCIA</v>
      </c>
      <c r="E2" s="262"/>
    </row>
    <row r="3" spans="2:20" ht="17.25" customHeight="1">
      <c r="C3" s="266"/>
      <c r="D3" s="261" t="str">
        <f>Criterios!A10 &amp;"  "&amp;Criterios!B10</f>
        <v>Provincias  CADIZ</v>
      </c>
      <c r="E3" s="262"/>
    </row>
    <row r="4" spans="2:20" ht="17.25" customHeight="1" thickBot="1">
      <c r="D4" s="261" t="str">
        <f>Criterios!A11 &amp;"  "&amp;Criterios!B11</f>
        <v>Resumenes por Partidos Judiciales  LINEA DE LA CONCEPCION, LA</v>
      </c>
      <c r="E4" s="262"/>
    </row>
    <row r="5" spans="2:20" ht="12.75" customHeight="1">
      <c r="B5" s="271"/>
      <c r="C5" s="1287" t="str">
        <f>"Año:  " &amp;Criterios!B5 &amp; "          Trimestre   " &amp;Criterios!D5 &amp; " al " &amp;Criterios!D6</f>
        <v>Año:  2025          Trimestre   4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t="str">
        <f>IF(ISNUMBER((Datos!I10-Datos!S10)/Datos!S10),(Datos!I10-Datos!S10)/Datos!S10," - ")</f>
        <v xml:space="preserve"> - </v>
      </c>
      <c r="E10" s="347" t="str">
        <f>IF(ISNUMBER((Datos!J10-Datos!T10)/Datos!T10),(Datos!J10-Datos!T10)/Datos!T10," - ")</f>
        <v xml:space="preserve"> - </v>
      </c>
      <c r="F10" s="347" t="str">
        <f>IF(ISNUMBER((Datos!K10-Datos!U10)/Datos!U10),(Datos!K10-Datos!U10)/Datos!U10," - ")</f>
        <v xml:space="preserve"> - </v>
      </c>
      <c r="G10" s="348" t="str">
        <f>IF(ISNUMBER((Datos!L10-Datos!V10)/Datos!V10),(Datos!L10-Datos!V10)/Datos!V10," - ")</f>
        <v xml:space="preserve"> - </v>
      </c>
      <c r="H10" s="229" t="str">
        <f>IF(ISNUMBER((Datos!M10-Datos!W10)/Datos!W10),(Datos!M10-Datos!W10)/Datos!W10," - ")</f>
        <v xml:space="preserve"> - </v>
      </c>
      <c r="I10" s="349" t="str">
        <f>IF(ISNUMBER((Tasas!C10-Datos!BE10)/Datos!BE10),(Tasas!C10-Datos!BE10)/Datos!BE10," - ")</f>
        <v xml:space="preserve"> - </v>
      </c>
      <c r="J10" s="348" t="str">
        <f>IF(ISNUMBER((Tasas!D10-Datos!BF10)/Datos!BF10),(Tasas!D10-Datos!BF10)/Datos!BF10," - ")</f>
        <v xml:space="preserve"> - </v>
      </c>
      <c r="K10" s="350" t="str">
        <f>IF(ISNUMBER((Tasas!E10-Datos!BG10)/Datos!BG10),(Tasas!E10-Datos!BG10)/Datos!BG10," - ")</f>
        <v xml:space="preserve"> - </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0.30357142857142855</v>
      </c>
      <c r="I12" s="349">
        <f>IF(ISNUMBER((Tasas!C12-Datos!BE12)/Datos!BE12),(Tasas!C12-Datos!BE12)/Datos!BE12," - ")</f>
        <v>-0.46372044738564822</v>
      </c>
      <c r="J12" s="348">
        <f>IF(ISNUMBER((Tasas!D12-Datos!BF12)/Datos!BF12),(Tasas!D12-Datos!BF12)/Datos!BF12," - ")</f>
        <v>-0.30035825084946077</v>
      </c>
      <c r="K12" s="350">
        <f>IF(ISNUMBER((Tasas!E12-Datos!BG12)/Datos!BG12),(Tasas!E12-Datos!BG12)/Datos!BG12," - ")</f>
        <v>-0.26662014453806399</v>
      </c>
      <c r="M12" t="e">
        <f>IF(Monitorios="SI",Datos!CE12,0)</f>
        <v>#REF!</v>
      </c>
      <c r="N12" t="e">
        <f>IF(Monitorios="SI",Datos!CF12,0)</f>
        <v>#REF!</v>
      </c>
      <c r="O12" t="e">
        <f>IF(Monitorios="SI",Datos!CG12,0)</f>
        <v>#REF!</v>
      </c>
      <c r="P12" t="e">
        <f>IF(Monitorios="SI",Datos!CH12,0)</f>
        <v>#REF!</v>
      </c>
      <c r="Q12">
        <f>IF(J_V="SI",0,Datos!AG12)</f>
        <v>36</v>
      </c>
      <c r="R12">
        <f>IF(J_V="SI",0,Datos!AH12)</f>
        <v>65</v>
      </c>
      <c r="S12">
        <f>IF(J_V="SI",0,Datos!AI12)</f>
        <v>53</v>
      </c>
      <c r="T12">
        <f>IF(J_V="SI",0,Datos!AJ12)</f>
        <v>48</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0.30357142857142855</v>
      </c>
      <c r="I13" s="356">
        <f>IF(ISNUMBER((Tasas!C13-Datos!BE13)/Datos!BE13),(Tasas!C13-Datos!BE13)/Datos!BE13," - ")</f>
        <v>-0.46372044738564822</v>
      </c>
      <c r="J13" s="354">
        <f>IF(ISNUMBER((Tasas!D13-Datos!BF13)/Datos!BF13),(Tasas!D13-Datos!BF13)/Datos!BF13," - ")</f>
        <v>-0.30035825084946077</v>
      </c>
      <c r="K13" s="357">
        <f>IF(ISNUMBER((Tasas!E13-Datos!BG13)/Datos!BG13),(Tasas!E13-Datos!BG13)/Datos!BG13," - ")</f>
        <v>-0.26662014453806399</v>
      </c>
      <c r="M13" t="e">
        <f>IF(Monitorios="SI",Datos!CE13,0)</f>
        <v>#REF!</v>
      </c>
      <c r="N13" t="e">
        <f>IF(Monitorios="SI",Datos!CF13,0)</f>
        <v>#REF!</v>
      </c>
      <c r="O13" t="e">
        <f>IF(Monitorios="SI",Datos!CG13,0)</f>
        <v>#REF!</v>
      </c>
      <c r="P13" t="e">
        <f>IF(Monitorios="SI",Datos!CH13,0)</f>
        <v>#REF!</v>
      </c>
      <c r="Q13">
        <f>IF(J_V="SI",0,Datos!AG13)</f>
        <v>36</v>
      </c>
      <c r="R13">
        <f>IF(J_V="SI",0,Datos!AH13)</f>
        <v>65</v>
      </c>
      <c r="S13">
        <f>IF(J_V="SI",0,Datos!AI13)</f>
        <v>53</v>
      </c>
      <c r="T13">
        <f>IF(J_V="SI",0,Datos!AJ13)</f>
        <v>48</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6.2917063870352716E-2</v>
      </c>
      <c r="E16" s="347">
        <f>IF(ISNUMBER(
   IF(D_I="SI",(Datos!J16-Datos!T16)/Datos!T16,(Datos!J16+Datos!AD16-(Datos!T16+Datos!AL16))/(Datos!T16+Datos!AL16))
     ),IF(D_I="SI",(Datos!J16-Datos!T16)/Datos!T16,(Datos!J16+Datos!AD16-(Datos!T16+Datos!AL16))/(Datos!T16+Datos!AL16))," - ")</f>
        <v>-0.24078947368421053</v>
      </c>
      <c r="F16" s="347">
        <f>IF(ISNUMBER(
   IF(D_I="SI",(Datos!K16-Datos!U16)/Datos!U16,(Datos!K16+Datos!AE16-(Datos!U16+Datos!AM16))/(Datos!U16+Datos!AM16))
     ),IF(D_I="SI",(Datos!K16-Datos!U16)/Datos!U16,(Datos!K16+Datos!AE16-(Datos!U16+Datos!AM16))/(Datos!U16+Datos!AM16))," - ")</f>
        <v>-0.45854271356783921</v>
      </c>
      <c r="G16" s="348">
        <f>IF(ISNUMBER(
   IF(D_I="SI",(Datos!L16-Datos!V16)/Datos!V16,(Datos!L16+Datos!AF16-(Datos!V16+Datos!AN16))/(Datos!V16+Datos!AN16))
     ),IF(D_I="SI",(Datos!L16-Datos!V16)/Datos!V16,(Datos!L16+Datos!AF16-(Datos!V16+Datos!AN16))/(Datos!V16+Datos!AN16))," - ")</f>
        <v>3.3816425120772944E-2</v>
      </c>
      <c r="H16" s="229">
        <f>IF(ISNUMBER((Datos!M16-Datos!W16)/Datos!W16),(Datos!M16-Datos!W16)/Datos!W16," - ")</f>
        <v>-0.41025641025641024</v>
      </c>
      <c r="I16" s="349">
        <f>IF(ISNUMBER((Tasas!C16-Datos!BE16)/Datos!BE16),(Tasas!C16-Datos!BE16)/Datos!BE16," - ")</f>
        <v>0.9093222143761841</v>
      </c>
      <c r="J16" s="348">
        <f>IF(ISNUMBER((Tasas!D16-Datos!BF16)/Datos!BF16),(Tasas!D16-Datos!BF16)/Datos!BF16," - ")</f>
        <v>8.9178416324587895E-2</v>
      </c>
      <c r="K16" s="350">
        <f>IF(ISNUMBER((Tasas!E16-Datos!BG16)/Datos!BG16),(Tasas!E16-Datos!BG16)/Datos!BG16," - ")</f>
        <v>0.81391104710350237</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-0.83333333333333337</v>
      </c>
      <c r="E17" s="347" t="str">
        <f>IF(ISNUMBER(
   IF(D_I="SI",(Datos!J17-Datos!T17)/Datos!T17,(Datos!J17+Datos!AD17-(Datos!T17+Datos!AL17))/(Datos!T17+Datos!AL17))
     ),IF(D_I="SI",(Datos!J17-Datos!T17)/Datos!T17,(Datos!J17+Datos!AD17-(Datos!T17+Datos!AL17))/(Datos!T17+Datos!AL17))," - ")</f>
        <v xml:space="preserve"> - </v>
      </c>
      <c r="F17" s="347">
        <f>IF(ISNUMBER(
   IF(D_I="SI",(Datos!K17-Datos!U17)/Datos!U17,(Datos!K17+Datos!AE17-(Datos!U17+Datos!AM17))/(Datos!U17+Datos!AM17))
     ),IF(D_I="SI",(Datos!K17-Datos!U17)/Datos!U17,(Datos!K17+Datos!AE17-(Datos!U17+Datos!AM17))/(Datos!U17+Datos!AM17))," - ")</f>
        <v>-1</v>
      </c>
      <c r="G17" s="348">
        <f>IF(ISNUMBER(
   IF(D_I="SI",(Datos!L17-Datos!V17)/Datos!V17,(Datos!L17+Datos!AF17-(Datos!V17+Datos!AN17))/(Datos!V17+Datos!AN17))
     ),IF(D_I="SI",(Datos!L17-Datos!V17)/Datos!V17,(Datos!L17+Datos!AF17-(Datos!V17+Datos!AN17))/(Datos!V17+Datos!AN17))," - ")</f>
        <v>-0.8125</v>
      </c>
      <c r="H17" s="229" t="str">
        <f>IF(ISNUMBER((Datos!M17-Datos!W17)/Datos!W17),(Datos!M17-Datos!W17)/Datos!W17," - ")</f>
        <v xml:space="preserve"> - </v>
      </c>
      <c r="I17" s="349" t="str">
        <f>IF(ISNUMBER((Tasas!C17-Datos!BE17)/Datos!BE17),(Tasas!C17-Datos!BE17)/Datos!BE17," - ")</f>
        <v xml:space="preserve"> - </v>
      </c>
      <c r="J17" s="348" t="str">
        <f>IF(ISNUMBER((Tasas!D17-Datos!BF17)/Datos!BF17),(Tasas!D17-Datos!BF17)/Datos!BF17," - ")</f>
        <v xml:space="preserve"> - </v>
      </c>
      <c r="K17" s="350" t="str">
        <f>IF(ISNUMBER((Tasas!E17-Datos!BG17)/Datos!BG17),(Tasas!E17-Datos!BG17)/Datos!BG17," - ")</f>
        <v xml:space="preserve"> - </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5.5293005671077505E-2</v>
      </c>
      <c r="E18" s="353">
        <f>IF(ISNUMBER(
   IF(D_I="SI",(Datos!J18-Datos!T18)/Datos!T18,(Datos!J18+Datos!AD18-(Datos!T18+Datos!AL18))/(Datos!T18+Datos!AL18))
     ),IF(D_I="SI",(Datos!J18-Datos!T18)/Datos!T18,(Datos!J18+Datos!AD18-(Datos!T18+Datos!AL18))/(Datos!T18+Datos!AL18))," - ")</f>
        <v>-0.24078947368421053</v>
      </c>
      <c r="F18" s="353">
        <f>IF(ISNUMBER(
   IF(D_I="SI",(Datos!K18-Datos!U18)/Datos!U18,(Datos!K18+Datos!AE18-(Datos!U18+Datos!AM18))/(Datos!U18+Datos!AM18))
     ),IF(D_I="SI",(Datos!K18-Datos!U18)/Datos!U18,(Datos!K18+Datos!AE18-(Datos!U18+Datos!AM18))/(Datos!U18+Datos!AM18))," - ")</f>
        <v>-0.45989974937343359</v>
      </c>
      <c r="G18" s="354">
        <f>IF(ISNUMBER(
   IF(D_I="SI",(Datos!L18-Datos!V18)/Datos!V18,(Datos!L18+Datos!AF18-(Datos!V18+Datos!AN18))/(Datos!V18+Datos!AN18))
     ),IF(D_I="SI",(Datos!L18-Datos!V18)/Datos!V18,(Datos!L18+Datos!AF18-(Datos!V18+Datos!AN18))/(Datos!V18+Datos!AN18))," - ")</f>
        <v>2.7325023969319271E-2</v>
      </c>
      <c r="H18" s="355">
        <f>IF(ISNUMBER((Datos!M18-Datos!W18)/Datos!W18),(Datos!M18-Datos!W18)/Datos!W18," - ")</f>
        <v>-0.41025641025641024</v>
      </c>
      <c r="I18" s="356">
        <f>IF(ISNUMBER((Tasas!C18-Datos!BE18)/Datos!BE18),(Tasas!C18-Datos!BE18)/Datos!BE18," - ")</f>
        <v>0.90210062442579275</v>
      </c>
      <c r="J18" s="354">
        <f>IF(ISNUMBER((Tasas!D18-Datos!BF18)/Datos!BF18),(Tasas!D18-Datos!BF18)/Datos!BF18," - ")</f>
        <v>9.1915045511333171E-2</v>
      </c>
      <c r="K18" s="357">
        <f>IF(ISNUMBER((Tasas!E18-Datos!BG18)/Datos!BG18),(Tasas!E18-Datos!BG18)/Datos!BG18," - ")</f>
        <v>0.80901871315212881</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8.961949265687584E-2</v>
      </c>
      <c r="E19" s="362">
        <f>IF(ISNUMBER(
   IF(J_V="SI",(Datos!J19-Datos!T19)/Datos!T19,(Datos!J19+Datos!Z19-(Datos!T19+Datos!AH19))/(Datos!T19+Datos!AH19))
     ),IF(J_V="SI",(Datos!J19-Datos!T19)/Datos!T19,(Datos!J19+Datos!Z19-(Datos!T19+Datos!AH19))/(Datos!T19+Datos!AH19))," - ")</f>
        <v>-0.28114086146682188</v>
      </c>
      <c r="F19" s="362">
        <f>IF(ISNUMBER(
   IF(J_V="SI",(Datos!K19-Datos!U19)/Datos!U19,(Datos!K19+Datos!AA19-(Datos!U19+Datos!AI19))/(Datos!U19+Datos!AI19))
     ),IF(J_V="SI",(Datos!K19-Datos!U19)/Datos!U19,(Datos!K19+Datos!AA19-(Datos!U19+Datos!AI19))/(Datos!U19+Datos!AI19))," - ")</f>
        <v>-6.174496644295302E-2</v>
      </c>
      <c r="G19" s="363">
        <f>IF(ISNUMBER(
   IF(J_V="SI",(Datos!L19-Datos!V19)/Datos!V19,(Datos!L19+Datos!AB19-(Datos!V19+Datos!AJ19))/(Datos!V19+Datos!AJ19))
     ),IF(J_V="SI",(Datos!L19-Datos!V19)/Datos!V19,(Datos!L19+Datos!AB19-(Datos!V19+Datos!AJ19))/(Datos!V19+Datos!AJ19))," - ")</f>
        <v>-0.15751445086705201</v>
      </c>
      <c r="H19" s="364">
        <f>IF(ISNUMBER((Datos!M19-Datos!W19)/Datos!W19),(Datos!M19-Datos!W19)/Datos!W19," - ")</f>
        <v>-7.9889807162534437E-2</v>
      </c>
      <c r="I19" s="361">
        <f>IF(ISNUMBER((Tasas!C19-Datos!BE19)/Datos!BE19),(Tasas!C19-Datos!BE19)/Datos!BE19," - ")</f>
        <v>-0.10207191115300963</v>
      </c>
      <c r="J19" s="362">
        <f>IF(ISNUMBER((Tasas!D19-Datos!BF19)/Datos!BF19),(Tasas!D19-Datos!BF19)/Datos!BF19," - ")</f>
        <v>-0.15040579621074773</v>
      </c>
      <c r="K19" s="363">
        <f>IF(ISNUMBER((Tasas!E19-Datos!BG19)/Datos!BG19),(Tasas!E19-Datos!BG19)/Datos!BG19," - ")</f>
        <v>7.3273102764928197E-2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0.51526363335085945</v>
      </c>
      <c r="E21" s="277">
        <f t="shared" si="1"/>
        <v>0</v>
      </c>
      <c r="F21" s="277">
        <f t="shared" si="1"/>
        <v>0.31221950486357519</v>
      </c>
      <c r="G21" s="278">
        <f t="shared" si="1"/>
        <v>0.48675793104361798</v>
      </c>
      <c r="H21" s="284">
        <f t="shared" si="1"/>
        <v>0.41212869490230153</v>
      </c>
      <c r="I21" s="276">
        <f t="shared" si="1"/>
        <v>0.790647353639501</v>
      </c>
      <c r="J21" s="277">
        <f t="shared" si="1"/>
        <v>0.22569186172023784</v>
      </c>
      <c r="K21" s="278">
        <f t="shared" si="1"/>
        <v>0.6224358836792151</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17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oaf9nJ0XF74ERW4kU9JxGyb95IAZs3j3dUhNw7Zh5dN7iau7YpN030TF2u3dePDZdrHOYHTaL8g6j6jqdn32Hw==" saltValue="B/mx4WWuheCSHZl9bsaFJ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2026-03-17T17:18:25Z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